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21"/>
  <workbookPr defaultThemeVersion="202300"/>
  <mc:AlternateContent xmlns:mc="http://schemas.openxmlformats.org/markup-compatibility/2006">
    <mc:Choice Requires="x15">
      <x15ac:absPath xmlns:x15ac="http://schemas.microsoft.com/office/spreadsheetml/2010/11/ac" url="/Users/jameelbrannon/Library/CloudStorage/Dropbox/models/"/>
    </mc:Choice>
  </mc:AlternateContent>
  <xr:revisionPtr revIDLastSave="0" documentId="13_ncr:1_{AABE21C3-27AB-D84D-BEB9-B92463A38CC8}" xr6:coauthVersionLast="47" xr6:coauthVersionMax="47" xr10:uidLastSave="{00000000-0000-0000-0000-000000000000}"/>
  <bookViews>
    <workbookView xWindow="20040" yWindow="500" windowWidth="29960" windowHeight="25600" xr2:uid="{8E5EA98A-F513-2A41-9781-2E7C1097AA03}"/>
  </bookViews>
  <sheets>
    <sheet name="Main" sheetId="1" r:id="rId1"/>
    <sheet name="US Geo Survey Notes" sheetId="4" r:id="rId2"/>
    <sheet name="Model " sheetId="2" r:id="rId3"/>
    <sheet name="Revenue Model " sheetId="3" r:id="rId4"/>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0" i="3" l="1"/>
  <c r="C36" i="3"/>
  <c r="C7" i="3"/>
  <c r="G28" i="3"/>
  <c r="F28" i="3"/>
  <c r="E28" i="3"/>
  <c r="C26" i="3"/>
  <c r="AS22" i="3"/>
  <c r="AR22" i="3"/>
  <c r="AQ22" i="3"/>
  <c r="AP22" i="3"/>
  <c r="AO22" i="3"/>
  <c r="AN22" i="3"/>
  <c r="AM22" i="3"/>
  <c r="AL22" i="3"/>
  <c r="AK22" i="3"/>
  <c r="AJ22" i="3"/>
  <c r="AI22" i="3"/>
  <c r="AH22" i="3"/>
  <c r="AG22" i="3"/>
  <c r="AF22" i="3"/>
  <c r="AE22" i="3"/>
  <c r="AD22" i="3"/>
  <c r="AC22" i="3"/>
  <c r="AB22" i="3"/>
  <c r="AA22" i="3"/>
  <c r="Z22" i="3"/>
  <c r="Y22" i="3"/>
  <c r="X22" i="3"/>
  <c r="W22" i="3"/>
  <c r="V22" i="3"/>
  <c r="U22" i="3"/>
  <c r="T22" i="3"/>
  <c r="S22" i="3"/>
  <c r="R22" i="3"/>
  <c r="Q22" i="3"/>
  <c r="P22" i="3"/>
  <c r="O22" i="3"/>
  <c r="N22" i="3"/>
  <c r="M22" i="3"/>
  <c r="L22" i="3"/>
  <c r="K22" i="3"/>
  <c r="J22" i="3"/>
  <c r="I22" i="3"/>
  <c r="H22" i="3"/>
  <c r="G24" i="3"/>
  <c r="F24" i="3"/>
  <c r="E24" i="3"/>
  <c r="G22" i="3"/>
  <c r="F22" i="3"/>
  <c r="E22" i="3"/>
  <c r="C21" i="3"/>
  <c r="C20" i="3"/>
  <c r="C17" i="3"/>
  <c r="AT15" i="3"/>
  <c r="C15" i="3" s="1"/>
  <c r="AS15" i="3"/>
  <c r="AR15" i="3"/>
  <c r="AQ15" i="3"/>
  <c r="AP15" i="3"/>
  <c r="AO15" i="3"/>
  <c r="AN15" i="3"/>
  <c r="AM15" i="3"/>
  <c r="AL15" i="3"/>
  <c r="AK15" i="3"/>
  <c r="AJ15" i="3"/>
  <c r="AI15" i="3"/>
  <c r="AH15" i="3"/>
  <c r="AG15" i="3"/>
  <c r="AF15" i="3"/>
  <c r="AE15" i="3"/>
  <c r="AD15" i="3"/>
  <c r="AC15" i="3"/>
  <c r="AB15" i="3"/>
  <c r="AA15" i="3"/>
  <c r="Z15" i="3"/>
  <c r="Y15" i="3"/>
  <c r="X15" i="3"/>
  <c r="W15" i="3"/>
  <c r="V15" i="3"/>
  <c r="U15" i="3"/>
  <c r="T15" i="3"/>
  <c r="S15" i="3"/>
  <c r="R15" i="3"/>
  <c r="Q15" i="3"/>
  <c r="P15" i="3"/>
  <c r="O15" i="3"/>
  <c r="N15" i="3"/>
  <c r="M15" i="3"/>
  <c r="L15" i="3"/>
  <c r="K15" i="3"/>
  <c r="J15" i="3"/>
  <c r="I15" i="3"/>
  <c r="H15" i="3"/>
  <c r="G15" i="3"/>
  <c r="F15" i="3"/>
  <c r="E15" i="3"/>
  <c r="AT14" i="3"/>
  <c r="AT13" i="3"/>
  <c r="C14" i="3"/>
  <c r="C13" i="3"/>
  <c r="C12" i="3"/>
  <c r="AT9" i="3"/>
  <c r="AT24" i="3" s="1"/>
  <c r="AT28" i="3" s="1"/>
  <c r="AS9" i="3"/>
  <c r="AS24" i="3" s="1"/>
  <c r="AS28" i="3" s="1"/>
  <c r="AR9" i="3"/>
  <c r="AR24" i="3" s="1"/>
  <c r="AR28" i="3" s="1"/>
  <c r="AQ9" i="3"/>
  <c r="AQ24" i="3" s="1"/>
  <c r="AQ28" i="3" s="1"/>
  <c r="AP9" i="3"/>
  <c r="AP24" i="3" s="1"/>
  <c r="AP28" i="3" s="1"/>
  <c r="AO9" i="3"/>
  <c r="AO24" i="3" s="1"/>
  <c r="AO28" i="3" s="1"/>
  <c r="AN9" i="3"/>
  <c r="AN24" i="3" s="1"/>
  <c r="AN28" i="3" s="1"/>
  <c r="AM9" i="3"/>
  <c r="AM24" i="3" s="1"/>
  <c r="AM28" i="3" s="1"/>
  <c r="AL9" i="3"/>
  <c r="AL24" i="3" s="1"/>
  <c r="AL28" i="3" s="1"/>
  <c r="AK9" i="3"/>
  <c r="AK24" i="3" s="1"/>
  <c r="AK28" i="3" s="1"/>
  <c r="AJ9" i="3"/>
  <c r="AJ24" i="3" s="1"/>
  <c r="AJ28" i="3" s="1"/>
  <c r="AI9" i="3"/>
  <c r="AI24" i="3" s="1"/>
  <c r="AI28" i="3" s="1"/>
  <c r="AH9" i="3"/>
  <c r="AH24" i="3" s="1"/>
  <c r="AH28" i="3" s="1"/>
  <c r="AG9" i="3"/>
  <c r="AG24" i="3" s="1"/>
  <c r="AG28" i="3" s="1"/>
  <c r="AF9" i="3"/>
  <c r="AF24" i="3" s="1"/>
  <c r="AF28" i="3" s="1"/>
  <c r="AE9" i="3"/>
  <c r="AE24" i="3" s="1"/>
  <c r="AE28" i="3" s="1"/>
  <c r="AD9" i="3"/>
  <c r="AD24" i="3" s="1"/>
  <c r="AD28" i="3" s="1"/>
  <c r="AC9" i="3"/>
  <c r="AC24" i="3" s="1"/>
  <c r="AC28" i="3" s="1"/>
  <c r="AB9" i="3"/>
  <c r="AB24" i="3" s="1"/>
  <c r="AB28" i="3" s="1"/>
  <c r="AA9" i="3"/>
  <c r="AA24" i="3" s="1"/>
  <c r="AA28" i="3" s="1"/>
  <c r="Z9" i="3"/>
  <c r="Z24" i="3" s="1"/>
  <c r="Z28" i="3" s="1"/>
  <c r="Y9" i="3"/>
  <c r="Y24" i="3" s="1"/>
  <c r="Y28" i="3" s="1"/>
  <c r="X9" i="3"/>
  <c r="X24" i="3" s="1"/>
  <c r="X28" i="3" s="1"/>
  <c r="W9" i="3"/>
  <c r="W24" i="3" s="1"/>
  <c r="W28" i="3" s="1"/>
  <c r="V9" i="3"/>
  <c r="V24" i="3" s="1"/>
  <c r="V28" i="3" s="1"/>
  <c r="U9" i="3"/>
  <c r="T9" i="3"/>
  <c r="S9" i="3"/>
  <c r="R9" i="3"/>
  <c r="Q9" i="3"/>
  <c r="Q24" i="3" s="1"/>
  <c r="Q28" i="3" s="1"/>
  <c r="P9" i="3"/>
  <c r="P24" i="3" s="1"/>
  <c r="P28" i="3" s="1"/>
  <c r="O9" i="3"/>
  <c r="O24" i="3" s="1"/>
  <c r="O28" i="3" s="1"/>
  <c r="N9" i="3"/>
  <c r="N24" i="3" s="1"/>
  <c r="N28" i="3" s="1"/>
  <c r="M9" i="3"/>
  <c r="M24" i="3" s="1"/>
  <c r="M28" i="3" s="1"/>
  <c r="L9" i="3"/>
  <c r="L24" i="3" s="1"/>
  <c r="L28" i="3" s="1"/>
  <c r="K9" i="3"/>
  <c r="K24" i="3" s="1"/>
  <c r="K28" i="3" s="1"/>
  <c r="J9" i="3"/>
  <c r="J24" i="3" s="1"/>
  <c r="J28" i="3" s="1"/>
  <c r="I9" i="3"/>
  <c r="I24" i="3" s="1"/>
  <c r="I28" i="3" s="1"/>
  <c r="H9" i="3"/>
  <c r="H24" i="3" s="1"/>
  <c r="C6" i="3"/>
  <c r="AT4" i="3"/>
  <c r="AT3" i="3"/>
  <c r="AS4" i="3"/>
  <c r="H3" i="3"/>
  <c r="I3" i="3" s="1"/>
  <c r="J3" i="3" s="1"/>
  <c r="K3" i="3" s="1"/>
  <c r="L3" i="3" s="1"/>
  <c r="M3" i="3" s="1"/>
  <c r="N3" i="3" s="1"/>
  <c r="O3" i="3" s="1"/>
  <c r="P3" i="3" s="1"/>
  <c r="Q3" i="3" s="1"/>
  <c r="R3" i="3" s="1"/>
  <c r="S3" i="3" s="1"/>
  <c r="T3" i="3" s="1"/>
  <c r="U3" i="3" s="1"/>
  <c r="V3" i="3" s="1"/>
  <c r="W3" i="3" s="1"/>
  <c r="X3" i="3" s="1"/>
  <c r="Y3" i="3" s="1"/>
  <c r="Z3" i="3" s="1"/>
  <c r="AA3" i="3" s="1"/>
  <c r="AB3" i="3" s="1"/>
  <c r="AC3" i="3" s="1"/>
  <c r="AD3" i="3" s="1"/>
  <c r="AE3" i="3" s="1"/>
  <c r="AF3" i="3" s="1"/>
  <c r="AG3" i="3" s="1"/>
  <c r="AH3" i="3" s="1"/>
  <c r="AI3" i="3" s="1"/>
  <c r="AJ3" i="3" s="1"/>
  <c r="AK3" i="3" s="1"/>
  <c r="AL3" i="3" s="1"/>
  <c r="AM3" i="3" s="1"/>
  <c r="AN3" i="3" s="1"/>
  <c r="AO3" i="3" s="1"/>
  <c r="AP3" i="3" s="1"/>
  <c r="AQ3" i="3" s="1"/>
  <c r="AR3" i="3" s="1"/>
  <c r="AS3" i="3" s="1"/>
  <c r="F4" i="3"/>
  <c r="G4" i="3" s="1"/>
  <c r="H4" i="3" s="1"/>
  <c r="I4" i="3" s="1"/>
  <c r="J4" i="3" s="1"/>
  <c r="K4" i="3" s="1"/>
  <c r="L4" i="3" s="1"/>
  <c r="M4" i="3" s="1"/>
  <c r="N4" i="3" s="1"/>
  <c r="O4" i="3" s="1"/>
  <c r="P4" i="3" s="1"/>
  <c r="Q4" i="3" s="1"/>
  <c r="R4" i="3" s="1"/>
  <c r="S4" i="3" s="1"/>
  <c r="T4" i="3" s="1"/>
  <c r="U4" i="3" s="1"/>
  <c r="V4" i="3" s="1"/>
  <c r="W4" i="3" s="1"/>
  <c r="X4" i="3" s="1"/>
  <c r="Y4" i="3" s="1"/>
  <c r="Z4" i="3" s="1"/>
  <c r="AA4" i="3" s="1"/>
  <c r="AB4" i="3" s="1"/>
  <c r="AC4" i="3" s="1"/>
  <c r="AD4" i="3" s="1"/>
  <c r="AE4" i="3" s="1"/>
  <c r="AF4" i="3" s="1"/>
  <c r="AG4" i="3" s="1"/>
  <c r="AH4" i="3" s="1"/>
  <c r="AI4" i="3" s="1"/>
  <c r="AJ4" i="3" s="1"/>
  <c r="AK4" i="3" s="1"/>
  <c r="AL4" i="3" s="1"/>
  <c r="AM4" i="3" s="1"/>
  <c r="AN4" i="3" s="1"/>
  <c r="AO4" i="3" s="1"/>
  <c r="AP4" i="3" s="1"/>
  <c r="AQ4" i="3" s="1"/>
  <c r="AR4" i="3" s="1"/>
  <c r="K59" i="2"/>
  <c r="K64" i="2"/>
  <c r="K61" i="2"/>
  <c r="S2" i="2"/>
  <c r="T2" i="2"/>
  <c r="T75" i="2"/>
  <c r="T72" i="2"/>
  <c r="T62" i="2"/>
  <c r="J57" i="2"/>
  <c r="J55" i="2"/>
  <c r="T59" i="2"/>
  <c r="J37" i="2"/>
  <c r="J43" i="2" s="1"/>
  <c r="J26" i="2"/>
  <c r="J33" i="2" s="1"/>
  <c r="J18" i="2"/>
  <c r="J16" i="2"/>
  <c r="J14" i="2"/>
  <c r="J13" i="2"/>
  <c r="J12" i="2"/>
  <c r="J11" i="2"/>
  <c r="J9" i="2"/>
  <c r="J8" i="2"/>
  <c r="J7" i="2"/>
  <c r="J6" i="2"/>
  <c r="J5" i="2"/>
  <c r="J4" i="2"/>
  <c r="F18" i="2"/>
  <c r="F16" i="2"/>
  <c r="F14" i="2"/>
  <c r="F13" i="2"/>
  <c r="F12" i="2"/>
  <c r="F11" i="2"/>
  <c r="F9" i="2"/>
  <c r="F8" i="2"/>
  <c r="F7" i="2"/>
  <c r="F6" i="2"/>
  <c r="F5" i="2"/>
  <c r="F4" i="2"/>
  <c r="G72" i="2"/>
  <c r="G64" i="2"/>
  <c r="G59" i="2"/>
  <c r="G74" i="2" s="1"/>
  <c r="G76" i="2" s="1"/>
  <c r="H75" i="2" s="1"/>
  <c r="G37" i="2"/>
  <c r="G43" i="2" s="1"/>
  <c r="G33" i="2"/>
  <c r="C10" i="2"/>
  <c r="C15" i="2" s="1"/>
  <c r="C17" i="2" s="1"/>
  <c r="C19" i="2" s="1"/>
  <c r="G10" i="2"/>
  <c r="G15" i="2" s="1"/>
  <c r="G17" i="2" s="1"/>
  <c r="G19" i="2" s="1"/>
  <c r="H68" i="2"/>
  <c r="H69" i="2"/>
  <c r="H70" i="2"/>
  <c r="H71" i="2"/>
  <c r="H66" i="2"/>
  <c r="H63" i="2"/>
  <c r="H62" i="2"/>
  <c r="I62" i="2" s="1"/>
  <c r="H61" i="2"/>
  <c r="H58" i="2"/>
  <c r="H56" i="2"/>
  <c r="H54" i="2"/>
  <c r="H53" i="2"/>
  <c r="H52" i="2"/>
  <c r="H51" i="2"/>
  <c r="H49" i="2"/>
  <c r="H47" i="2"/>
  <c r="H46" i="2"/>
  <c r="H45" i="2"/>
  <c r="F37" i="2"/>
  <c r="F43" i="2" s="1"/>
  <c r="F26" i="2"/>
  <c r="F33" i="2" s="1"/>
  <c r="H37" i="2"/>
  <c r="H43" i="2" s="1"/>
  <c r="I37" i="2"/>
  <c r="I43" i="2" s="1"/>
  <c r="H26" i="2"/>
  <c r="H33" i="2" s="1"/>
  <c r="I26" i="2"/>
  <c r="I33" i="2" s="1"/>
  <c r="D10" i="2"/>
  <c r="D15" i="2" s="1"/>
  <c r="D17" i="2" s="1"/>
  <c r="D19" i="2" s="1"/>
  <c r="H22" i="2"/>
  <c r="H21" i="2"/>
  <c r="H10" i="2"/>
  <c r="H15" i="2" s="1"/>
  <c r="H17" i="2" s="1"/>
  <c r="H19" i="2" s="1"/>
  <c r="I67" i="2"/>
  <c r="J67" i="2" s="1"/>
  <c r="I50" i="2"/>
  <c r="J50" i="2" s="1"/>
  <c r="I48" i="2"/>
  <c r="J48" i="2" s="1"/>
  <c r="T22" i="2"/>
  <c r="I22" i="2"/>
  <c r="I21" i="2"/>
  <c r="E10" i="2"/>
  <c r="E15" i="2" s="1"/>
  <c r="E17" i="2" s="1"/>
  <c r="E19" i="2" s="1"/>
  <c r="I10" i="2"/>
  <c r="I15" i="2" s="1"/>
  <c r="I17" i="2" s="1"/>
  <c r="I19" i="2" s="1"/>
  <c r="T21" i="2"/>
  <c r="S10" i="2"/>
  <c r="T10" i="2"/>
  <c r="T3" i="2"/>
  <c r="U3" i="2" s="1"/>
  <c r="V3" i="2" s="1"/>
  <c r="W3" i="2" s="1"/>
  <c r="X3" i="2" s="1"/>
  <c r="Y3" i="2" s="1"/>
  <c r="Z3" i="2" s="1"/>
  <c r="K5" i="1"/>
  <c r="K8" i="1" s="1"/>
  <c r="K1" i="1"/>
  <c r="U24" i="3" l="1"/>
  <c r="U28" i="3" s="1"/>
  <c r="T24" i="3"/>
  <c r="T28" i="3" s="1"/>
  <c r="S24" i="3"/>
  <c r="S28" i="3" s="1"/>
  <c r="R24" i="3"/>
  <c r="R28" i="3" s="1"/>
  <c r="C9" i="3"/>
  <c r="C24" i="3"/>
  <c r="H28" i="3"/>
  <c r="C28" i="3" s="1"/>
  <c r="C22" i="3"/>
  <c r="I54" i="2"/>
  <c r="J54" i="2"/>
  <c r="I53" i="2"/>
  <c r="J53" i="2" s="1"/>
  <c r="I52" i="2"/>
  <c r="J52" i="2"/>
  <c r="I51" i="2"/>
  <c r="J51" i="2"/>
  <c r="I49" i="2"/>
  <c r="J49" i="2"/>
  <c r="I47" i="2"/>
  <c r="J47" i="2"/>
  <c r="I45" i="2"/>
  <c r="J45" i="2" s="1"/>
  <c r="J62" i="2"/>
  <c r="T64" i="2"/>
  <c r="T74" i="2" s="1"/>
  <c r="T76" i="2" s="1"/>
  <c r="I68" i="2"/>
  <c r="J68" i="2"/>
  <c r="I69" i="2"/>
  <c r="J69" i="2" s="1"/>
  <c r="I70" i="2"/>
  <c r="J70" i="2"/>
  <c r="I71" i="2"/>
  <c r="J71" i="2" s="1"/>
  <c r="I66" i="2"/>
  <c r="J66" i="2" s="1"/>
  <c r="I63" i="2"/>
  <c r="J63" i="2" s="1"/>
  <c r="I58" i="2"/>
  <c r="J58" i="2" s="1"/>
  <c r="I56" i="2"/>
  <c r="J56" i="2"/>
  <c r="J22" i="2"/>
  <c r="J21" i="2"/>
  <c r="S15" i="2"/>
  <c r="F10" i="2"/>
  <c r="T15" i="2"/>
  <c r="J10" i="2"/>
  <c r="H72" i="2"/>
  <c r="H64" i="2"/>
  <c r="I61" i="2"/>
  <c r="J61" i="2" s="1"/>
  <c r="I46" i="2"/>
  <c r="H59" i="2"/>
  <c r="H74" i="2" s="1"/>
  <c r="H76" i="2" s="1"/>
  <c r="I75" i="2" s="1"/>
  <c r="I72" i="2"/>
  <c r="I64" i="2"/>
  <c r="C31" i="3" l="1"/>
  <c r="J64" i="2"/>
  <c r="J72" i="2"/>
  <c r="I59" i="2"/>
  <c r="I74" i="2" s="1"/>
  <c r="I76" i="2" s="1"/>
  <c r="J75" i="2" s="1"/>
  <c r="J46" i="2"/>
  <c r="J59" i="2" s="1"/>
  <c r="F15" i="2"/>
  <c r="S17" i="2"/>
  <c r="J15" i="2"/>
  <c r="T17" i="2"/>
  <c r="J74" i="2" l="1"/>
  <c r="J76" i="2" s="1"/>
  <c r="F17" i="2"/>
  <c r="F19" i="2" s="1"/>
  <c r="S19" i="2"/>
  <c r="J17" i="2"/>
  <c r="J19" i="2" s="1"/>
  <c r="T19" i="2"/>
</calcChain>
</file>

<file path=xl/sharedStrings.xml><?xml version="1.0" encoding="utf-8"?>
<sst xmlns="http://schemas.openxmlformats.org/spreadsheetml/2006/main" count="193" uniqueCount="176">
  <si>
    <t>P</t>
  </si>
  <si>
    <t>S</t>
  </si>
  <si>
    <t>MC</t>
  </si>
  <si>
    <t>C</t>
  </si>
  <si>
    <t>D</t>
  </si>
  <si>
    <t>EV</t>
  </si>
  <si>
    <t xml:space="preserve">CEO </t>
  </si>
  <si>
    <t xml:space="preserve">CFO </t>
  </si>
  <si>
    <t xml:space="preserve">Opening </t>
  </si>
  <si>
    <t>YTD</t>
  </si>
  <si>
    <t xml:space="preserve">Presentation </t>
  </si>
  <si>
    <t xml:space="preserve">5E Advanced Materials </t>
  </si>
  <si>
    <t>Boron</t>
  </si>
  <si>
    <t xml:space="preserve">Lithium </t>
  </si>
  <si>
    <t>Boron is contained in colemanite</t>
  </si>
  <si>
    <t xml:space="preserve">Goal </t>
  </si>
  <si>
    <t xml:space="preserve">extract mineral and process into borates, advanced boron materials, calcium based co prods, and lithium carbonate </t>
  </si>
  <si>
    <t>Q124</t>
  </si>
  <si>
    <t>Q224</t>
  </si>
  <si>
    <t>Q324</t>
  </si>
  <si>
    <t>Q424</t>
  </si>
  <si>
    <t>Q125</t>
  </si>
  <si>
    <t>Q225</t>
  </si>
  <si>
    <t>Q325</t>
  </si>
  <si>
    <t>Q425</t>
  </si>
  <si>
    <t xml:space="preserve">Revenues </t>
  </si>
  <si>
    <t>Project Expenses</t>
  </si>
  <si>
    <t xml:space="preserve">Small scale facility </t>
  </si>
  <si>
    <t>G&amp;A</t>
  </si>
  <si>
    <t>R&amp;D</t>
  </si>
  <si>
    <t>D&amp;A</t>
  </si>
  <si>
    <t>Op Income</t>
  </si>
  <si>
    <t xml:space="preserve">Interest Income </t>
  </si>
  <si>
    <t xml:space="preserve">Other Income </t>
  </si>
  <si>
    <t>Interest Expense</t>
  </si>
  <si>
    <t xml:space="preserve">Other Expense </t>
  </si>
  <si>
    <t xml:space="preserve">EBT </t>
  </si>
  <si>
    <t>Taxes</t>
  </si>
  <si>
    <t xml:space="preserve">Net Income </t>
  </si>
  <si>
    <t>$000s</t>
  </si>
  <si>
    <t>Diluted Shrs</t>
  </si>
  <si>
    <t>EPS</t>
  </si>
  <si>
    <t xml:space="preserve">Projext Exp </t>
  </si>
  <si>
    <t>SBC</t>
  </si>
  <si>
    <t>Loss on Extin debt</t>
  </si>
  <si>
    <t>convertible Note Deriv</t>
  </si>
  <si>
    <t>Transaction costs</t>
  </si>
  <si>
    <t>Accretion of asset retirement oblig</t>
  </si>
  <si>
    <t>Amortization of debt issuance</t>
  </si>
  <si>
    <t>Amortization of right of use</t>
  </si>
  <si>
    <t>Interest earned on reclamation bond</t>
  </si>
  <si>
    <t>Prepaid Expenses</t>
  </si>
  <si>
    <t>A/P</t>
  </si>
  <si>
    <t xml:space="preserve">CFFO </t>
  </si>
  <si>
    <t>Common Issuance</t>
  </si>
  <si>
    <t xml:space="preserve">Proceeds from debt </t>
  </si>
  <si>
    <t>Proceeds from convertible notes</t>
  </si>
  <si>
    <t>Debt issuance costs</t>
  </si>
  <si>
    <t>Payments on note payable</t>
  </si>
  <si>
    <t>Taxes witheld for eq awards</t>
  </si>
  <si>
    <t>CFFF</t>
  </si>
  <si>
    <t>Construction in progress</t>
  </si>
  <si>
    <t xml:space="preserve">Capex </t>
  </si>
  <si>
    <t>Refund on prev acquired equipment</t>
  </si>
  <si>
    <t>CFFI</t>
  </si>
  <si>
    <t>Net Increase</t>
  </si>
  <si>
    <t xml:space="preserve">Cash @ Begin </t>
  </si>
  <si>
    <t xml:space="preserve">Cash @ End </t>
  </si>
  <si>
    <t xml:space="preserve">Cash </t>
  </si>
  <si>
    <t>Prepaid Exp</t>
  </si>
  <si>
    <t xml:space="preserve">Current Assets </t>
  </si>
  <si>
    <t xml:space="preserve">Mineral rights </t>
  </si>
  <si>
    <t>PPE, Net</t>
  </si>
  <si>
    <t xml:space="preserve">Total Assets </t>
  </si>
  <si>
    <t xml:space="preserve">Reclamation bond deposit </t>
  </si>
  <si>
    <t>Right of use asset</t>
  </si>
  <si>
    <t xml:space="preserve">Other asset </t>
  </si>
  <si>
    <t xml:space="preserve">Lease liabilities </t>
  </si>
  <si>
    <t xml:space="preserve">Current Liabilities </t>
  </si>
  <si>
    <t>LTD</t>
  </si>
  <si>
    <t>Convertible note derivative</t>
  </si>
  <si>
    <t xml:space="preserve">Lease Liabilities </t>
  </si>
  <si>
    <t>Asset retirement obligations</t>
  </si>
  <si>
    <t xml:space="preserve">Equity </t>
  </si>
  <si>
    <t xml:space="preserve">Total Liabilities + Equity </t>
  </si>
  <si>
    <t xml:space="preserve">Other </t>
  </si>
  <si>
    <t>Reclamation bond deposits</t>
  </si>
  <si>
    <t xml:space="preserve">Commodity </t>
  </si>
  <si>
    <t>Boron (Boric Acid)</t>
  </si>
  <si>
    <t>By-Product</t>
  </si>
  <si>
    <t>Calcium Chloride &amp; Gypsum</t>
  </si>
  <si>
    <t xml:space="preserve">Deposit </t>
  </si>
  <si>
    <t xml:space="preserve">Colemanite ore, extracted in-situ leaching </t>
  </si>
  <si>
    <t xml:space="preserve">Phase 1 Output </t>
  </si>
  <si>
    <t>130k short tons/yr</t>
  </si>
  <si>
    <t>Grade</t>
  </si>
  <si>
    <r>
      <t>8% B</t>
    </r>
    <r>
      <rPr>
        <sz val="8"/>
        <color theme="1"/>
        <rFont val="Aptos Narrow (Body)"/>
      </rPr>
      <t>2</t>
    </r>
    <r>
      <rPr>
        <sz val="12"/>
        <color theme="1"/>
        <rFont val="Aptos Narrow"/>
        <family val="2"/>
        <scheme val="minor"/>
      </rPr>
      <t>O</t>
    </r>
    <r>
      <rPr>
        <sz val="8"/>
        <color theme="1"/>
        <rFont val="Aptos Narrow (Body)"/>
      </rPr>
      <t>3</t>
    </r>
  </si>
  <si>
    <t>Cut-off</t>
  </si>
  <si>
    <r>
      <t>2% B</t>
    </r>
    <r>
      <rPr>
        <sz val="8"/>
        <color theme="1"/>
        <rFont val="Aptos Narrow (Body)"/>
      </rPr>
      <t>2</t>
    </r>
    <r>
      <rPr>
        <sz val="12"/>
        <color theme="1"/>
        <rFont val="Aptos Narrow"/>
        <family val="2"/>
        <scheme val="minor"/>
      </rPr>
      <t>O</t>
    </r>
    <r>
      <rPr>
        <sz val="8"/>
        <color theme="1"/>
        <rFont val="Aptos Narrow (Body)"/>
      </rPr>
      <t>3</t>
    </r>
  </si>
  <si>
    <t>Capex Drivers</t>
  </si>
  <si>
    <t>Plant ($280M), COGEN power ($50M), Wellfield ($30M)</t>
  </si>
  <si>
    <t>Use-cases</t>
  </si>
  <si>
    <t>Ev motors, magnets, defense composites, fertilizers, glass, semiconductors</t>
  </si>
  <si>
    <t xml:space="preserve">Strategy </t>
  </si>
  <si>
    <t>Supply</t>
  </si>
  <si>
    <t>U.S. has almost no domestic supply (china &amp; Turkey dominate)</t>
  </si>
  <si>
    <t>Operations</t>
  </si>
  <si>
    <t>Small scale facility (SSF)</t>
  </si>
  <si>
    <t xml:space="preserve">Issues </t>
  </si>
  <si>
    <t>Execution: boron at scale hasn't been done in the u.s</t>
  </si>
  <si>
    <t>Timeline: management targeting FY28</t>
  </si>
  <si>
    <t xml:space="preserve">Financing: business needs $435M on a current run rate of $3-$4m cash/qtr </t>
  </si>
  <si>
    <t xml:space="preserve">Price taker --&gt; turkey can flood market </t>
  </si>
  <si>
    <t>Q126</t>
  </si>
  <si>
    <t xml:space="preserve">Year </t>
  </si>
  <si>
    <t>Production Qty</t>
  </si>
  <si>
    <t xml:space="preserve">Boric Acid Price </t>
  </si>
  <si>
    <t xml:space="preserve">Pre-Production </t>
  </si>
  <si>
    <t xml:space="preserve">LOM Total </t>
  </si>
  <si>
    <t xml:space="preserve">Units </t>
  </si>
  <si>
    <t>ST</t>
  </si>
  <si>
    <t>$/ST</t>
  </si>
  <si>
    <t>$M</t>
  </si>
  <si>
    <t xml:space="preserve">Production </t>
  </si>
  <si>
    <t>Revenue [ p * q]</t>
  </si>
  <si>
    <t xml:space="preserve">Variable </t>
  </si>
  <si>
    <t>Fixed</t>
  </si>
  <si>
    <t>Other</t>
  </si>
  <si>
    <t xml:space="preserve">Total Expenses </t>
  </si>
  <si>
    <t xml:space="preserve">Working Capital </t>
  </si>
  <si>
    <t xml:space="preserve">Capital Costs </t>
  </si>
  <si>
    <t xml:space="preserve">Initial </t>
  </si>
  <si>
    <t xml:space="preserve">Sustaining </t>
  </si>
  <si>
    <t xml:space="preserve">Total Capital </t>
  </si>
  <si>
    <t xml:space="preserve">Pre-Tax Cash Flow </t>
  </si>
  <si>
    <t xml:space="preserve">After Tax Cash Flow </t>
  </si>
  <si>
    <t>NPV</t>
  </si>
  <si>
    <t>IRR</t>
  </si>
  <si>
    <t>1 short ton</t>
  </si>
  <si>
    <t xml:space="preserve">metric tonnes </t>
  </si>
  <si>
    <t xml:space="preserve">Boron </t>
  </si>
  <si>
    <t xml:space="preserve">3 companie sin southern california produced borates in FY24 </t>
  </si>
  <si>
    <t xml:space="preserve">most of the boron produces consumed in US were manufactured domestically </t>
  </si>
  <si>
    <t>est boron prod increased in FY24 v FY23</t>
  </si>
  <si>
    <t>kermite used to produce boric acid</t>
  </si>
  <si>
    <t>tincal used to produce sodium borate</t>
  </si>
  <si>
    <t>ulexite used as primary ingredient in the manufacture of specialty glasses and ceramics</t>
  </si>
  <si>
    <t>2nd company produced borates from brines extracted through solution-mining techniques</t>
  </si>
  <si>
    <t>3rd company begin mining borates using solution minnig techniques in Jan24</t>
  </si>
  <si>
    <t>in FY24 glass and ceramics industries were leading users of boron products</t>
  </si>
  <si>
    <t>Boron was also used as a component in abrasives, cleaning products, insecticides, insulation, and in the production of semiconductors</t>
  </si>
  <si>
    <t>leading born producer mined borate ores, which contain the minerals kernite, tincal, and ulexite by open pit methods</t>
  </si>
  <si>
    <t>elemental boron is a metalloid with ltd cmmercial applications</t>
  </si>
  <si>
    <t>although the term "boron" is commonly references it does not occur in nature in an elemental state</t>
  </si>
  <si>
    <t>Boron combines with oxygen and other elements to form boric acid or inorganic salts called borates.</t>
  </si>
  <si>
    <t>Boron compounds (borates) are commercially important and are priced and sold based on their boric oxide (B2O3) content varying by ore and compound by the absense or presence of calcium and sodium</t>
  </si>
  <si>
    <t xml:space="preserve">4 borate minerals </t>
  </si>
  <si>
    <t>colemanite</t>
  </si>
  <si>
    <t>kernite</t>
  </si>
  <si>
    <t xml:space="preserve">tincal </t>
  </si>
  <si>
    <t xml:space="preserve">ulexite </t>
  </si>
  <si>
    <t xml:space="preserve">account for 90% of the borate minerals used by industry worldwide </t>
  </si>
  <si>
    <t>Borax: sodium + boron + oxygen + water</t>
  </si>
  <si>
    <t>Colemanite: calcium + boron + oxygen + hydrogen</t>
  </si>
  <si>
    <t>Boric Acid: Boron + Oxygen + Hydrogen</t>
  </si>
  <si>
    <t>Colemanite: Calcium borate</t>
  </si>
  <si>
    <t xml:space="preserve">Tincal: Sodium borate </t>
  </si>
  <si>
    <t xml:space="preserve">Kernite: Sodium borate </t>
  </si>
  <si>
    <t xml:space="preserve">Ulexite: Sodium-calcium borate </t>
  </si>
  <si>
    <t>colemanite: boron + calcium + oxygen + water</t>
  </si>
  <si>
    <t xml:space="preserve">tincal: sodium + boron + oxygen + water </t>
  </si>
  <si>
    <t>kernite: sodium + boron + oxygen + hydrogen + water</t>
  </si>
  <si>
    <t>ulexite: sodium + calcium + boron + oxygen + hydrogen + water</t>
  </si>
  <si>
    <t xml:space="preserve">Pre-lim Feasibility Study </t>
  </si>
  <si>
    <t>US Geological Survey</t>
  </si>
  <si>
    <t>q</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</si>
</sst>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1" formatCode="_(* #,##0_);_(* \(#,##0\);_(* &quot;-&quot;_);_(@_)"/>
    <numFmt numFmtId="165" formatCode="m/d;@"/>
    <numFmt numFmtId="171" formatCode="#,##0.000"/>
  </numFmts>
  <fonts count="6" x14ac:knownFonts="1">
    <font>
      <sz val="12"/>
      <color theme="1"/>
      <name val="Aptos Narrow"/>
      <family val="2"/>
      <scheme val="minor"/>
    </font>
    <font>
      <u/>
      <sz val="12"/>
      <color theme="10"/>
      <name val="Aptos Narrow"/>
      <family val="2"/>
      <scheme val="minor"/>
    </font>
    <font>
      <sz val="12"/>
      <color theme="1"/>
      <name val="Aptos Narrow"/>
      <scheme val="minor"/>
    </font>
    <font>
      <b/>
      <sz val="12"/>
      <color theme="1"/>
      <name val="Aptos Narrow"/>
      <scheme val="minor"/>
    </font>
    <font>
      <sz val="8"/>
      <color theme="1"/>
      <name val="Aptos Narrow (Body)"/>
    </font>
    <font>
      <sz val="12"/>
      <color theme="0" tint="-0.14999847407452621"/>
      <name val="Aptos Narrow"/>
      <family val="2"/>
      <scheme val="minor"/>
    </font>
  </fonts>
  <fills count="3">
    <fill>
      <patternFill patternType="none"/>
    </fill>
    <fill>
      <patternFill patternType="gray125"/>
    </fill>
    <fill>
      <patternFill patternType="solid">
        <fgColor theme="9" tint="0.79998168889431442"/>
        <bgColor indexed="64"/>
      </patternFill>
    </fill>
  </fills>
  <borders count="4">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2">
    <xf numFmtId="0" fontId="0" fillId="0" borderId="0"/>
    <xf numFmtId="0" fontId="1" fillId="0" borderId="0" applyNumberFormat="0" applyFill="0" applyBorder="0" applyAlignment="0" applyProtection="0"/>
  </cellStyleXfs>
  <cellXfs count="31">
    <xf numFmtId="0" fontId="0" fillId="0" borderId="0" xfId="0"/>
    <xf numFmtId="9" fontId="0" fillId="0" borderId="0" xfId="0" applyNumberFormat="1"/>
    <xf numFmtId="0" fontId="1" fillId="0" borderId="0" xfId="1"/>
    <xf numFmtId="3" fontId="0" fillId="0" borderId="0" xfId="0" applyNumberFormat="1"/>
    <xf numFmtId="3" fontId="1" fillId="0" borderId="0" xfId="1" applyNumberFormat="1"/>
    <xf numFmtId="0" fontId="2" fillId="0" borderId="0" xfId="0" applyFont="1"/>
    <xf numFmtId="165" fontId="0" fillId="0" borderId="0" xfId="0" applyNumberFormat="1"/>
    <xf numFmtId="3" fontId="3" fillId="0" borderId="0" xfId="0" applyNumberFormat="1" applyFont="1"/>
    <xf numFmtId="0" fontId="0" fillId="0" borderId="0" xfId="0" applyAlignment="1">
      <alignment horizontal="right"/>
    </xf>
    <xf numFmtId="165" fontId="0" fillId="0" borderId="0" xfId="0" applyNumberFormat="1" applyAlignment="1">
      <alignment horizontal="right"/>
    </xf>
    <xf numFmtId="3" fontId="0" fillId="0" borderId="0" xfId="0" applyNumberFormat="1" applyAlignment="1">
      <alignment horizontal="right"/>
    </xf>
    <xf numFmtId="9" fontId="0" fillId="0" borderId="0" xfId="0" applyNumberFormat="1" applyAlignment="1">
      <alignment horizontal="right"/>
    </xf>
    <xf numFmtId="3" fontId="3" fillId="0" borderId="0" xfId="0" applyNumberFormat="1" applyFont="1" applyAlignment="1">
      <alignment horizontal="right"/>
    </xf>
    <xf numFmtId="3" fontId="0" fillId="2" borderId="0" xfId="0" applyNumberFormat="1" applyFill="1" applyAlignment="1">
      <alignment horizontal="right"/>
    </xf>
    <xf numFmtId="0" fontId="0" fillId="0" borderId="0" xfId="0" applyBorder="1"/>
    <xf numFmtId="0" fontId="0" fillId="0" borderId="1" xfId="0" applyBorder="1"/>
    <xf numFmtId="0" fontId="0" fillId="0" borderId="2" xfId="0" applyBorder="1"/>
    <xf numFmtId="0" fontId="0" fillId="0" borderId="3" xfId="0" applyBorder="1"/>
    <xf numFmtId="0" fontId="0" fillId="0" borderId="0" xfId="0" applyFill="1" applyBorder="1"/>
    <xf numFmtId="0" fontId="3" fillId="0" borderId="0" xfId="0" applyFont="1" applyFill="1" applyBorder="1"/>
    <xf numFmtId="0" fontId="3" fillId="0" borderId="1" xfId="0" applyFont="1" applyFill="1" applyBorder="1"/>
    <xf numFmtId="0" fontId="0" fillId="0" borderId="2" xfId="0" applyFill="1" applyBorder="1"/>
    <xf numFmtId="0" fontId="0" fillId="0" borderId="0" xfId="0" applyAlignment="1">
      <alignment horizontal="left" indent="2"/>
    </xf>
    <xf numFmtId="0" fontId="0" fillId="0" borderId="0" xfId="0" applyAlignment="1"/>
    <xf numFmtId="3" fontId="0" fillId="0" borderId="2" xfId="0" applyNumberFormat="1" applyBorder="1"/>
    <xf numFmtId="0" fontId="5" fillId="0" borderId="0" xfId="0" applyFont="1"/>
    <xf numFmtId="3" fontId="0" fillId="0" borderId="0" xfId="0" applyNumberFormat="1" applyAlignment="1">
      <alignment horizontal="center"/>
    </xf>
    <xf numFmtId="3" fontId="0" fillId="0" borderId="2" xfId="0" applyNumberFormat="1" applyBorder="1" applyAlignment="1">
      <alignment horizontal="center"/>
    </xf>
    <xf numFmtId="41" fontId="0" fillId="0" borderId="0" xfId="0" applyNumberFormat="1"/>
    <xf numFmtId="41" fontId="0" fillId="0" borderId="2" xfId="0" applyNumberFormat="1" applyBorder="1"/>
    <xf numFmtId="171" fontId="0" fillId="0" borderId="0" xfId="0" applyNumberFormat="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580960</xdr:colOff>
      <xdr:row>25</xdr:row>
      <xdr:rowOff>65367</xdr:rowOff>
    </xdr:from>
    <xdr:to>
      <xdr:col>15</xdr:col>
      <xdr:colOff>143594</xdr:colOff>
      <xdr:row>58</xdr:row>
      <xdr:rowOff>29299</xdr:rowOff>
    </xdr:to>
    <xdr:pic>
      <xdr:nvPicPr>
        <xdr:cNvPr id="2" name="Picture 1">
          <a:extLst>
            <a:ext uri="{FF2B5EF4-FFF2-40B4-BE49-F238E27FC236}">
              <a16:creationId xmlns:a16="http://schemas.microsoft.com/office/drawing/2014/main" id="{6063A870-F87E-06CC-4340-400318CB6605}"/>
            </a:ext>
          </a:extLst>
        </xdr:cNvPr>
        <xdr:cNvPicPr>
          <a:picLocks noChangeAspect="1"/>
        </xdr:cNvPicPr>
      </xdr:nvPicPr>
      <xdr:blipFill>
        <a:blip xmlns:r="http://schemas.openxmlformats.org/officeDocument/2006/relationships" r:embed="rId1"/>
        <a:stretch>
          <a:fillRect/>
        </a:stretch>
      </xdr:blipFill>
      <xdr:spPr>
        <a:xfrm>
          <a:off x="8630519" y="5201396"/>
          <a:ext cx="4493222" cy="6743491"/>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5eadvancedmaterials.com/hubfs/Technical%20Reports/5E%20PFS%20-%208.6.25%20Hubspot.pdf" TargetMode="External"/><Relationship Id="rId1" Type="http://schemas.openxmlformats.org/officeDocument/2006/relationships/hyperlink" Target="https://irp.cdn-website.com/389c200f/files/uploaded/5E+Investor+Presentation+-+2025-10-02.pdf" TargetMode="External"/></Relationships>
</file>

<file path=xl/worksheets/_rels/sheet2.xml.rels><?xml version="1.0" encoding="UTF-8" standalone="yes"?>
<Relationships xmlns="http://schemas.openxmlformats.org/package/2006/relationships"><Relationship Id="rId1" Type="http://schemas.openxmlformats.org/officeDocument/2006/relationships/hyperlink" Target="https://pubs.usgs.gov/periodicals/mcs2025/mcs2025.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9F74B1-F992-A845-9AA6-9D9735FAD9E2}">
  <dimension ref="B1:K49"/>
  <sheetViews>
    <sheetView tabSelected="1" zoomScale="136" workbookViewId="0">
      <selection activeCell="J17" sqref="J17"/>
    </sheetView>
  </sheetViews>
  <sheetFormatPr baseColWidth="10" defaultRowHeight="16" x14ac:dyDescent="0.2"/>
  <cols>
    <col min="1" max="1" width="2" customWidth="1"/>
    <col min="2" max="2" width="28.1640625" bestFit="1" customWidth="1"/>
  </cols>
  <sheetData>
    <row r="1" spans="2:11" x14ac:dyDescent="0.2">
      <c r="J1" t="s">
        <v>9</v>
      </c>
      <c r="K1" s="1">
        <f>+K3/K2-1</f>
        <v>-0.58872077028885827</v>
      </c>
    </row>
    <row r="2" spans="2:11" x14ac:dyDescent="0.2">
      <c r="B2" t="s">
        <v>11</v>
      </c>
      <c r="J2" t="s">
        <v>8</v>
      </c>
      <c r="K2">
        <v>14.54</v>
      </c>
    </row>
    <row r="3" spans="2:11" x14ac:dyDescent="0.2">
      <c r="J3" t="s">
        <v>0</v>
      </c>
      <c r="K3">
        <v>5.98</v>
      </c>
    </row>
    <row r="4" spans="2:11" s="3" customFormat="1" x14ac:dyDescent="0.2">
      <c r="B4" s="3" t="s">
        <v>6</v>
      </c>
      <c r="J4" s="3" t="s">
        <v>1</v>
      </c>
      <c r="K4" s="3">
        <v>22.444586999999999</v>
      </c>
    </row>
    <row r="5" spans="2:11" s="3" customFormat="1" x14ac:dyDescent="0.2">
      <c r="B5" s="3" t="s">
        <v>7</v>
      </c>
      <c r="J5" s="3" t="s">
        <v>2</v>
      </c>
      <c r="K5" s="3">
        <f>+K3*K4</f>
        <v>134.21863026</v>
      </c>
    </row>
    <row r="6" spans="2:11" s="3" customFormat="1" x14ac:dyDescent="0.2">
      <c r="J6" s="3" t="s">
        <v>3</v>
      </c>
      <c r="K6" s="3">
        <v>3.8359999999999999</v>
      </c>
    </row>
    <row r="7" spans="2:11" s="3" customFormat="1" x14ac:dyDescent="0.2">
      <c r="B7" s="4" t="s">
        <v>10</v>
      </c>
      <c r="J7" s="3" t="s">
        <v>4</v>
      </c>
      <c r="K7" s="3">
        <v>2.1999999999999999E-2</v>
      </c>
    </row>
    <row r="8" spans="2:11" s="3" customFormat="1" x14ac:dyDescent="0.2">
      <c r="B8" s="4" t="s">
        <v>173</v>
      </c>
      <c r="I8" s="3" t="s">
        <v>175</v>
      </c>
      <c r="J8" s="3" t="s">
        <v>5</v>
      </c>
      <c r="K8" s="3">
        <f>+K5-K6+K7</f>
        <v>130.40463025999998</v>
      </c>
    </row>
    <row r="9" spans="2:11" s="3" customFormat="1" x14ac:dyDescent="0.2">
      <c r="B9" s="3" t="s">
        <v>12</v>
      </c>
    </row>
    <row r="10" spans="2:11" s="3" customFormat="1" x14ac:dyDescent="0.2">
      <c r="B10" s="3" t="s">
        <v>13</v>
      </c>
    </row>
    <row r="11" spans="2:11" s="3" customFormat="1" x14ac:dyDescent="0.2">
      <c r="B11" s="3" t="s">
        <v>14</v>
      </c>
    </row>
    <row r="12" spans="2:11" s="3" customFormat="1" x14ac:dyDescent="0.2">
      <c r="B12" s="3" t="s">
        <v>15</v>
      </c>
      <c r="C12" s="3" t="s">
        <v>16</v>
      </c>
    </row>
    <row r="13" spans="2:11" s="3" customFormat="1" x14ac:dyDescent="0.2"/>
    <row r="14" spans="2:11" s="3" customFormat="1" x14ac:dyDescent="0.2"/>
    <row r="15" spans="2:11" x14ac:dyDescent="0.2">
      <c r="B15" s="15" t="s">
        <v>87</v>
      </c>
      <c r="C15" s="16"/>
      <c r="D15" s="16"/>
      <c r="E15" s="16"/>
      <c r="F15" s="16"/>
      <c r="G15" s="17"/>
    </row>
    <row r="16" spans="2:11" x14ac:dyDescent="0.2">
      <c r="B16" s="14" t="s">
        <v>88</v>
      </c>
      <c r="C16" s="14" t="s">
        <v>90</v>
      </c>
      <c r="D16" s="14"/>
      <c r="E16" s="14"/>
      <c r="F16" s="14"/>
      <c r="G16" s="14"/>
      <c r="H16" s="14"/>
    </row>
    <row r="17" spans="2:8" x14ac:dyDescent="0.2">
      <c r="B17" s="14" t="s">
        <v>89</v>
      </c>
      <c r="C17" s="14" t="s">
        <v>90</v>
      </c>
      <c r="D17" s="14"/>
      <c r="E17" s="14"/>
      <c r="F17" s="14"/>
      <c r="G17" s="14"/>
      <c r="H17" s="14"/>
    </row>
    <row r="18" spans="2:8" x14ac:dyDescent="0.2">
      <c r="B18" s="14" t="s">
        <v>91</v>
      </c>
      <c r="C18" s="14" t="s">
        <v>92</v>
      </c>
      <c r="D18" s="14"/>
      <c r="E18" s="14"/>
      <c r="F18" s="14"/>
      <c r="G18" s="14"/>
      <c r="H18" s="14"/>
    </row>
    <row r="19" spans="2:8" x14ac:dyDescent="0.2">
      <c r="B19" s="14" t="s">
        <v>93</v>
      </c>
      <c r="C19" s="18" t="s">
        <v>94</v>
      </c>
      <c r="D19" s="14"/>
      <c r="E19" s="14"/>
      <c r="F19" s="14"/>
      <c r="G19" s="14"/>
      <c r="H19" s="14"/>
    </row>
    <row r="20" spans="2:8" x14ac:dyDescent="0.2">
      <c r="B20" s="14" t="s">
        <v>95</v>
      </c>
      <c r="C20" s="14" t="s">
        <v>96</v>
      </c>
      <c r="D20" s="14"/>
      <c r="E20" s="14"/>
      <c r="F20" s="14"/>
      <c r="G20" s="14"/>
      <c r="H20" s="14"/>
    </row>
    <row r="21" spans="2:8" x14ac:dyDescent="0.2">
      <c r="B21" s="14" t="s">
        <v>97</v>
      </c>
      <c r="C21" s="14" t="s">
        <v>98</v>
      </c>
      <c r="D21" s="14"/>
      <c r="E21" s="14"/>
      <c r="F21" s="14"/>
      <c r="G21" s="14"/>
      <c r="H21" s="14"/>
    </row>
    <row r="22" spans="2:8" x14ac:dyDescent="0.2">
      <c r="B22" s="14" t="s">
        <v>99</v>
      </c>
      <c r="C22" s="18" t="s">
        <v>100</v>
      </c>
      <c r="D22" s="14"/>
      <c r="E22" s="14"/>
      <c r="F22" s="14"/>
      <c r="G22" s="14"/>
      <c r="H22" s="14"/>
    </row>
    <row r="23" spans="2:8" x14ac:dyDescent="0.2">
      <c r="B23" s="20" t="s">
        <v>103</v>
      </c>
      <c r="C23" s="21"/>
      <c r="D23" s="16"/>
      <c r="E23" s="16"/>
      <c r="F23" s="16"/>
      <c r="G23" s="17"/>
      <c r="H23" s="14"/>
    </row>
    <row r="24" spans="2:8" x14ac:dyDescent="0.2">
      <c r="B24" s="18" t="s">
        <v>101</v>
      </c>
      <c r="C24" s="18" t="s">
        <v>102</v>
      </c>
      <c r="D24" s="14"/>
      <c r="E24" s="14"/>
      <c r="F24" s="14"/>
      <c r="G24" s="14"/>
      <c r="H24" s="14"/>
    </row>
    <row r="25" spans="2:8" x14ac:dyDescent="0.2">
      <c r="B25" s="18" t="s">
        <v>104</v>
      </c>
      <c r="C25" s="18" t="s">
        <v>105</v>
      </c>
      <c r="D25" s="14"/>
      <c r="E25" s="14"/>
      <c r="F25" s="14"/>
      <c r="G25" s="14"/>
      <c r="H25" s="14"/>
    </row>
    <row r="26" spans="2:8" x14ac:dyDescent="0.2">
      <c r="B26" s="18" t="s">
        <v>106</v>
      </c>
      <c r="C26" s="18" t="s">
        <v>107</v>
      </c>
      <c r="D26" s="14"/>
      <c r="E26" s="14"/>
      <c r="F26" s="14"/>
      <c r="G26" s="14"/>
      <c r="H26" s="14"/>
    </row>
    <row r="27" spans="2:8" x14ac:dyDescent="0.2">
      <c r="B27" s="14"/>
      <c r="C27" s="14"/>
      <c r="D27" s="14"/>
      <c r="E27" s="14"/>
      <c r="F27" s="14"/>
      <c r="G27" s="14"/>
      <c r="H27" s="14"/>
    </row>
    <row r="28" spans="2:8" x14ac:dyDescent="0.2">
      <c r="B28" s="14"/>
      <c r="C28" s="14"/>
      <c r="D28" s="14"/>
      <c r="E28" s="14"/>
      <c r="F28" s="14"/>
      <c r="G28" s="14"/>
      <c r="H28" s="14"/>
    </row>
    <row r="29" spans="2:8" x14ac:dyDescent="0.2">
      <c r="B29" s="19" t="s">
        <v>108</v>
      </c>
      <c r="C29" s="14"/>
      <c r="D29" s="14"/>
      <c r="E29" s="14"/>
      <c r="F29" s="14"/>
      <c r="G29" s="14"/>
      <c r="H29" s="14"/>
    </row>
    <row r="30" spans="2:8" x14ac:dyDescent="0.2">
      <c r="B30" s="18" t="s">
        <v>111</v>
      </c>
      <c r="C30" s="14"/>
      <c r="D30" s="14"/>
      <c r="E30" s="14"/>
      <c r="F30" s="14"/>
      <c r="G30" s="14"/>
      <c r="H30" s="14"/>
    </row>
    <row r="31" spans="2:8" x14ac:dyDescent="0.2">
      <c r="B31" s="18" t="s">
        <v>109</v>
      </c>
    </row>
    <row r="32" spans="2:8" x14ac:dyDescent="0.2">
      <c r="B32" s="18" t="s">
        <v>110</v>
      </c>
    </row>
    <row r="33" spans="2:2" x14ac:dyDescent="0.2">
      <c r="B33" s="18" t="s">
        <v>112</v>
      </c>
    </row>
    <row r="36" spans="2:2" x14ac:dyDescent="0.2">
      <c r="B36" t="s">
        <v>162</v>
      </c>
    </row>
    <row r="37" spans="2:2" x14ac:dyDescent="0.2">
      <c r="B37" t="s">
        <v>163</v>
      </c>
    </row>
    <row r="38" spans="2:2" x14ac:dyDescent="0.2">
      <c r="B38" t="s">
        <v>164</v>
      </c>
    </row>
    <row r="40" spans="2:2" x14ac:dyDescent="0.2">
      <c r="B40" t="s">
        <v>165</v>
      </c>
    </row>
    <row r="41" spans="2:2" x14ac:dyDescent="0.2">
      <c r="B41" t="s">
        <v>166</v>
      </c>
    </row>
    <row r="42" spans="2:2" x14ac:dyDescent="0.2">
      <c r="B42" t="s">
        <v>167</v>
      </c>
    </row>
    <row r="43" spans="2:2" x14ac:dyDescent="0.2">
      <c r="B43" t="s">
        <v>168</v>
      </c>
    </row>
    <row r="46" spans="2:2" x14ac:dyDescent="0.2">
      <c r="B46" t="s">
        <v>169</v>
      </c>
    </row>
    <row r="47" spans="2:2" x14ac:dyDescent="0.2">
      <c r="B47" t="s">
        <v>170</v>
      </c>
    </row>
    <row r="48" spans="2:2" x14ac:dyDescent="0.2">
      <c r="B48" t="s">
        <v>171</v>
      </c>
    </row>
    <row r="49" spans="2:2" x14ac:dyDescent="0.2">
      <c r="B49" t="s">
        <v>172</v>
      </c>
    </row>
  </sheetData>
  <hyperlinks>
    <hyperlink ref="B7" r:id="rId1" xr:uid="{D0F09A03-1180-BE44-B8CA-8B4A2E23FA9E}"/>
    <hyperlink ref="B8" r:id="rId2" xr:uid="{91D1E98D-E2B5-6A47-B133-8B279D77F6FC}"/>
  </hyperlinks>
  <pageMargins left="0.7" right="0.7" top="0.75" bottom="0.75" header="0.3" footer="0.3"/>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D00384-9531-9E49-BB80-57C259EE94AB}">
  <dimension ref="B2:C27"/>
  <sheetViews>
    <sheetView showGridLines="0" zoomScale="142" workbookViewId="0">
      <selection activeCell="B2" sqref="B2"/>
    </sheetView>
  </sheetViews>
  <sheetFormatPr baseColWidth="10" defaultRowHeight="16" x14ac:dyDescent="0.2"/>
  <cols>
    <col min="1" max="1" width="4.5" customWidth="1"/>
  </cols>
  <sheetData>
    <row r="2" spans="2:3" x14ac:dyDescent="0.2">
      <c r="B2" s="2" t="s">
        <v>174</v>
      </c>
    </row>
    <row r="3" spans="2:3" x14ac:dyDescent="0.2">
      <c r="B3" t="s">
        <v>140</v>
      </c>
    </row>
    <row r="4" spans="2:3" x14ac:dyDescent="0.2">
      <c r="B4" t="s">
        <v>141</v>
      </c>
    </row>
    <row r="5" spans="2:3" x14ac:dyDescent="0.2">
      <c r="B5" t="s">
        <v>142</v>
      </c>
    </row>
    <row r="6" spans="2:3" x14ac:dyDescent="0.2">
      <c r="B6" t="s">
        <v>143</v>
      </c>
    </row>
    <row r="7" spans="2:3" x14ac:dyDescent="0.2">
      <c r="B7" t="s">
        <v>151</v>
      </c>
    </row>
    <row r="8" spans="2:3" x14ac:dyDescent="0.2">
      <c r="C8" t="s">
        <v>144</v>
      </c>
    </row>
    <row r="9" spans="2:3" x14ac:dyDescent="0.2">
      <c r="C9" t="s">
        <v>145</v>
      </c>
    </row>
    <row r="10" spans="2:3" x14ac:dyDescent="0.2">
      <c r="C10" t="s">
        <v>146</v>
      </c>
    </row>
    <row r="11" spans="2:3" x14ac:dyDescent="0.2">
      <c r="B11" t="s">
        <v>147</v>
      </c>
    </row>
    <row r="12" spans="2:3" x14ac:dyDescent="0.2">
      <c r="B12" t="s">
        <v>148</v>
      </c>
    </row>
    <row r="13" spans="2:3" x14ac:dyDescent="0.2">
      <c r="B13" t="s">
        <v>149</v>
      </c>
    </row>
    <row r="14" spans="2:3" x14ac:dyDescent="0.2">
      <c r="B14" t="s">
        <v>150</v>
      </c>
    </row>
    <row r="17" spans="2:2" x14ac:dyDescent="0.2">
      <c r="B17" t="s">
        <v>152</v>
      </c>
    </row>
    <row r="18" spans="2:2" x14ac:dyDescent="0.2">
      <c r="B18" t="s">
        <v>153</v>
      </c>
    </row>
    <row r="19" spans="2:2" x14ac:dyDescent="0.2">
      <c r="B19" t="s">
        <v>154</v>
      </c>
    </row>
    <row r="20" spans="2:2" x14ac:dyDescent="0.2">
      <c r="B20" t="s">
        <v>155</v>
      </c>
    </row>
    <row r="22" spans="2:2" x14ac:dyDescent="0.2">
      <c r="B22" t="s">
        <v>156</v>
      </c>
    </row>
    <row r="23" spans="2:2" x14ac:dyDescent="0.2">
      <c r="B23" t="s">
        <v>157</v>
      </c>
    </row>
    <row r="24" spans="2:2" x14ac:dyDescent="0.2">
      <c r="B24" t="s">
        <v>158</v>
      </c>
    </row>
    <row r="25" spans="2:2" x14ac:dyDescent="0.2">
      <c r="B25" t="s">
        <v>159</v>
      </c>
    </row>
    <row r="26" spans="2:2" x14ac:dyDescent="0.2">
      <c r="B26" t="s">
        <v>160</v>
      </c>
    </row>
    <row r="27" spans="2:2" x14ac:dyDescent="0.2">
      <c r="B27" t="s">
        <v>161</v>
      </c>
    </row>
  </sheetData>
  <hyperlinks>
    <hyperlink ref="B2" r:id="rId1" xr:uid="{E3C5DCF9-A4F7-8242-ADDC-E02C22C0B982}"/>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E75B3-EA01-F64E-BF46-A1EE7CE249A3}">
  <dimension ref="B1:Z76"/>
  <sheetViews>
    <sheetView zoomScale="125" workbookViewId="0">
      <pane xSplit="2" ySplit="3" topLeftCell="C4" activePane="bottomRight" state="frozen"/>
      <selection pane="topRight" activeCell="C1" sqref="C1"/>
      <selection pane="bottomLeft" activeCell="A3" sqref="A3"/>
      <selection pane="bottomRight" activeCell="K47" sqref="K47"/>
    </sheetView>
  </sheetViews>
  <sheetFormatPr baseColWidth="10" defaultRowHeight="16" x14ac:dyDescent="0.2"/>
  <cols>
    <col min="1" max="1" width="2.5" style="3" customWidth="1"/>
    <col min="2" max="2" width="30.83203125" style="3" bestFit="1" customWidth="1"/>
    <col min="3" max="4" width="6.83203125" style="10" bestFit="1" customWidth="1"/>
    <col min="5" max="5" width="6.5" style="10" bestFit="1" customWidth="1"/>
    <col min="6" max="6" width="8.5" style="10" bestFit="1" customWidth="1"/>
    <col min="7" max="7" width="7.5" style="10" bestFit="1" customWidth="1"/>
    <col min="8" max="8" width="7.83203125" style="10" bestFit="1" customWidth="1"/>
    <col min="9" max="9" width="7.5" style="10" bestFit="1" customWidth="1"/>
    <col min="10" max="10" width="8.5" style="10" bestFit="1" customWidth="1"/>
    <col min="11" max="14" width="8.5" style="10" customWidth="1"/>
    <col min="15" max="16" width="5.6640625" style="10" customWidth="1"/>
    <col min="17" max="18" width="5.1640625" style="10" bestFit="1" customWidth="1"/>
    <col min="19" max="20" width="7.5" style="10" bestFit="1" customWidth="1"/>
    <col min="21" max="26" width="5.1640625" style="10" bestFit="1" customWidth="1"/>
    <col min="27" max="16384" width="10.83203125" style="3"/>
  </cols>
  <sheetData>
    <row r="1" spans="2:26" customFormat="1" x14ac:dyDescent="0.2">
      <c r="C1" s="8"/>
      <c r="D1" s="8"/>
      <c r="E1" s="8"/>
      <c r="F1" s="8"/>
      <c r="G1" s="8"/>
      <c r="H1" s="8"/>
      <c r="I1" s="8"/>
      <c r="J1" s="8"/>
      <c r="K1" s="8"/>
      <c r="L1" s="8"/>
      <c r="M1" s="8"/>
      <c r="N1" s="8"/>
      <c r="O1" s="8"/>
      <c r="P1" s="8"/>
      <c r="Q1" s="8"/>
      <c r="R1" s="8"/>
      <c r="S1" s="8"/>
      <c r="T1" s="8"/>
      <c r="U1" s="8"/>
      <c r="V1" s="8"/>
      <c r="W1" s="8"/>
      <c r="X1" s="8"/>
      <c r="Y1" s="8"/>
      <c r="Z1" s="8"/>
    </row>
    <row r="2" spans="2:26" s="6" customFormat="1" x14ac:dyDescent="0.2">
      <c r="C2" s="9">
        <v>45199</v>
      </c>
      <c r="D2" s="9">
        <v>45291</v>
      </c>
      <c r="E2" s="9">
        <v>45382</v>
      </c>
      <c r="F2" s="9">
        <v>45473</v>
      </c>
      <c r="G2" s="9">
        <v>45565</v>
      </c>
      <c r="H2" s="9">
        <v>45657</v>
      </c>
      <c r="I2" s="9">
        <v>45747</v>
      </c>
      <c r="J2" s="9">
        <v>45838</v>
      </c>
      <c r="K2" s="9"/>
      <c r="L2" s="9"/>
      <c r="M2" s="9"/>
      <c r="N2" s="9"/>
      <c r="O2" s="9"/>
      <c r="P2" s="9"/>
      <c r="Q2" s="9"/>
      <c r="R2" s="9"/>
      <c r="S2" s="9">
        <f>+F2</f>
        <v>45473</v>
      </c>
      <c r="T2" s="9">
        <f>+J2</f>
        <v>45838</v>
      </c>
      <c r="U2" s="9"/>
      <c r="V2" s="9"/>
      <c r="W2" s="9"/>
      <c r="X2" s="9"/>
      <c r="Y2" s="9"/>
      <c r="Z2" s="9"/>
    </row>
    <row r="3" spans="2:26" customFormat="1" x14ac:dyDescent="0.2">
      <c r="B3" s="5" t="s">
        <v>39</v>
      </c>
      <c r="C3" s="8" t="s">
        <v>17</v>
      </c>
      <c r="D3" s="8" t="s">
        <v>18</v>
      </c>
      <c r="E3" s="8" t="s">
        <v>19</v>
      </c>
      <c r="F3" s="8" t="s">
        <v>20</v>
      </c>
      <c r="G3" s="8" t="s">
        <v>21</v>
      </c>
      <c r="H3" s="8" t="s">
        <v>22</v>
      </c>
      <c r="I3" s="8" t="s">
        <v>23</v>
      </c>
      <c r="J3" s="8" t="s">
        <v>24</v>
      </c>
      <c r="K3" s="8" t="s">
        <v>113</v>
      </c>
      <c r="L3" s="8"/>
      <c r="M3" s="8"/>
      <c r="N3" s="8"/>
      <c r="O3" s="8"/>
      <c r="P3" s="8"/>
      <c r="Q3" s="8">
        <v>2022</v>
      </c>
      <c r="R3" s="8">
        <v>2023</v>
      </c>
      <c r="S3" s="8">
        <v>2024</v>
      </c>
      <c r="T3" s="8">
        <f>+S3+1</f>
        <v>2025</v>
      </c>
      <c r="U3" s="8">
        <f>+T3+1</f>
        <v>2026</v>
      </c>
      <c r="V3" s="8">
        <f>+U3+1</f>
        <v>2027</v>
      </c>
      <c r="W3" s="8">
        <f>+V3+1</f>
        <v>2028</v>
      </c>
      <c r="X3" s="8">
        <f>+W3+1</f>
        <v>2029</v>
      </c>
      <c r="Y3" s="8">
        <f>+X3+1</f>
        <v>2030</v>
      </c>
      <c r="Z3" s="8">
        <f>+Y3+1</f>
        <v>2031</v>
      </c>
    </row>
    <row r="4" spans="2:26" x14ac:dyDescent="0.2">
      <c r="B4" s="3" t="s">
        <v>25</v>
      </c>
      <c r="C4" s="10">
        <v>0</v>
      </c>
      <c r="D4" s="10">
        <v>0</v>
      </c>
      <c r="E4" s="10">
        <v>0</v>
      </c>
      <c r="F4" s="10">
        <f>+S4-SUM(C4:E4)</f>
        <v>0</v>
      </c>
      <c r="G4" s="10">
        <v>0</v>
      </c>
      <c r="H4" s="10">
        <v>0</v>
      </c>
      <c r="I4" s="10">
        <v>0</v>
      </c>
      <c r="J4" s="10">
        <f>+T4-SUM(G4:I4)</f>
        <v>0</v>
      </c>
      <c r="S4" s="10">
        <v>0</v>
      </c>
      <c r="T4" s="10">
        <v>0</v>
      </c>
    </row>
    <row r="5" spans="2:26" x14ac:dyDescent="0.2">
      <c r="B5" s="3" t="s">
        <v>26</v>
      </c>
      <c r="C5" s="10">
        <v>1583</v>
      </c>
      <c r="D5" s="10">
        <v>1431</v>
      </c>
      <c r="E5" s="10">
        <v>1155</v>
      </c>
      <c r="F5" s="10">
        <f t="shared" ref="F5:F18" si="0">+S5-SUM(C5:E5)</f>
        <v>2164</v>
      </c>
      <c r="G5" s="10">
        <v>1554</v>
      </c>
      <c r="H5" s="10">
        <v>1679</v>
      </c>
      <c r="I5" s="10">
        <v>1050</v>
      </c>
      <c r="J5" s="10">
        <f t="shared" ref="J5:J18" si="1">+T5-SUM(G5:I5)</f>
        <v>716</v>
      </c>
      <c r="S5" s="10">
        <v>6333</v>
      </c>
      <c r="T5" s="10">
        <v>4999</v>
      </c>
    </row>
    <row r="6" spans="2:26" x14ac:dyDescent="0.2">
      <c r="B6" s="3" t="s">
        <v>27</v>
      </c>
      <c r="C6" s="10">
        <v>0</v>
      </c>
      <c r="D6" s="10">
        <v>0</v>
      </c>
      <c r="E6" s="10">
        <v>0</v>
      </c>
      <c r="F6" s="10">
        <f t="shared" si="0"/>
        <v>1437</v>
      </c>
      <c r="G6" s="10">
        <v>1587</v>
      </c>
      <c r="H6" s="10">
        <v>1080</v>
      </c>
      <c r="I6" s="10">
        <v>897</v>
      </c>
      <c r="J6" s="10">
        <f t="shared" si="1"/>
        <v>766</v>
      </c>
      <c r="S6" s="10">
        <v>1437</v>
      </c>
      <c r="T6" s="10">
        <v>4330</v>
      </c>
    </row>
    <row r="7" spans="2:26" x14ac:dyDescent="0.2">
      <c r="B7" s="3" t="s">
        <v>28</v>
      </c>
      <c r="C7" s="10">
        <v>6038</v>
      </c>
      <c r="D7" s="10">
        <v>7396</v>
      </c>
      <c r="E7" s="10">
        <v>2997</v>
      </c>
      <c r="F7" s="10">
        <f t="shared" si="0"/>
        <v>6444</v>
      </c>
      <c r="G7" s="10">
        <v>4798</v>
      </c>
      <c r="H7" s="10">
        <v>3280</v>
      </c>
      <c r="I7" s="10">
        <v>3265</v>
      </c>
      <c r="J7" s="10">
        <f t="shared" si="1"/>
        <v>3100</v>
      </c>
      <c r="S7" s="10">
        <v>22875</v>
      </c>
      <c r="T7" s="10">
        <v>14443</v>
      </c>
    </row>
    <row r="8" spans="2:26" x14ac:dyDescent="0.2">
      <c r="B8" s="3" t="s">
        <v>29</v>
      </c>
      <c r="C8" s="10">
        <v>39</v>
      </c>
      <c r="D8" s="10">
        <v>6</v>
      </c>
      <c r="E8" s="10">
        <v>0</v>
      </c>
      <c r="F8" s="10">
        <f t="shared" si="0"/>
        <v>0</v>
      </c>
      <c r="G8" s="10">
        <v>0</v>
      </c>
      <c r="H8" s="10">
        <v>0</v>
      </c>
      <c r="I8" s="10">
        <v>0</v>
      </c>
      <c r="J8" s="10">
        <f t="shared" si="1"/>
        <v>0</v>
      </c>
      <c r="S8" s="10">
        <v>45</v>
      </c>
      <c r="T8" s="10">
        <v>0</v>
      </c>
    </row>
    <row r="9" spans="2:26" x14ac:dyDescent="0.2">
      <c r="B9" s="3" t="s">
        <v>30</v>
      </c>
      <c r="C9" s="10">
        <v>53</v>
      </c>
      <c r="D9" s="10">
        <v>53</v>
      </c>
      <c r="E9" s="10">
        <v>53</v>
      </c>
      <c r="F9" s="10">
        <f t="shared" si="0"/>
        <v>5011</v>
      </c>
      <c r="G9" s="10">
        <v>4972</v>
      </c>
      <c r="H9" s="10">
        <v>4992</v>
      </c>
      <c r="I9" s="10">
        <v>4992</v>
      </c>
      <c r="J9" s="10">
        <f t="shared" si="1"/>
        <v>4991</v>
      </c>
      <c r="S9" s="10">
        <v>5170</v>
      </c>
      <c r="T9" s="10">
        <v>19947</v>
      </c>
    </row>
    <row r="10" spans="2:26" x14ac:dyDescent="0.2">
      <c r="B10" s="3" t="s">
        <v>31</v>
      </c>
      <c r="C10" s="10">
        <f>+C4-SUM(C5:C9)</f>
        <v>-7713</v>
      </c>
      <c r="D10" s="10">
        <f>+D4-SUM(D5:D9)</f>
        <v>-8886</v>
      </c>
      <c r="E10" s="10">
        <f>+E4-SUM(E5:E9)</f>
        <v>-4205</v>
      </c>
      <c r="F10" s="10">
        <f t="shared" si="0"/>
        <v>-15056</v>
      </c>
      <c r="G10" s="10">
        <f>+G4-SUM(G5:G9)</f>
        <v>-12911</v>
      </c>
      <c r="H10" s="10">
        <f>+H4-SUM(H5:H9)</f>
        <v>-11031</v>
      </c>
      <c r="I10" s="10">
        <f>+I4-SUM(I5:I9)</f>
        <v>-10204</v>
      </c>
      <c r="J10" s="10">
        <f t="shared" si="1"/>
        <v>-9573</v>
      </c>
      <c r="S10" s="10">
        <f>+S4-SUM(S5:S9)</f>
        <v>-35860</v>
      </c>
      <c r="T10" s="10">
        <f>+T4-SUM(T5:T9)</f>
        <v>-43719</v>
      </c>
    </row>
    <row r="11" spans="2:26" x14ac:dyDescent="0.2">
      <c r="B11" s="3" t="s">
        <v>32</v>
      </c>
      <c r="C11" s="10">
        <v>132</v>
      </c>
      <c r="D11" s="10">
        <v>10</v>
      </c>
      <c r="E11" s="10">
        <v>73</v>
      </c>
      <c r="F11" s="10">
        <f t="shared" si="0"/>
        <v>37</v>
      </c>
      <c r="G11" s="10">
        <v>23</v>
      </c>
      <c r="H11" s="10">
        <v>25</v>
      </c>
      <c r="I11" s="10">
        <v>21</v>
      </c>
      <c r="J11" s="10">
        <f t="shared" si="1"/>
        <v>34</v>
      </c>
      <c r="S11" s="10">
        <v>252</v>
      </c>
      <c r="T11" s="10">
        <v>103</v>
      </c>
    </row>
    <row r="12" spans="2:26" x14ac:dyDescent="0.2">
      <c r="B12" s="3" t="s">
        <v>33</v>
      </c>
      <c r="C12" s="10">
        <v>3</v>
      </c>
      <c r="D12" s="10">
        <v>0</v>
      </c>
      <c r="E12" s="10">
        <v>4</v>
      </c>
      <c r="F12" s="10">
        <f t="shared" si="0"/>
        <v>0</v>
      </c>
      <c r="G12" s="10">
        <v>1</v>
      </c>
      <c r="H12" s="10">
        <v>4</v>
      </c>
      <c r="I12" s="10">
        <v>0</v>
      </c>
      <c r="J12" s="10">
        <f t="shared" si="1"/>
        <v>2</v>
      </c>
      <c r="S12" s="10">
        <v>7</v>
      </c>
      <c r="T12" s="10">
        <v>7</v>
      </c>
    </row>
    <row r="13" spans="2:26" x14ac:dyDescent="0.2">
      <c r="B13" s="3" t="s">
        <v>34</v>
      </c>
      <c r="C13" s="10">
        <v>-1787</v>
      </c>
      <c r="D13" s="10">
        <v>-1739</v>
      </c>
      <c r="E13" s="10">
        <v>-822</v>
      </c>
      <c r="F13" s="10">
        <f t="shared" si="0"/>
        <v>-1851</v>
      </c>
      <c r="G13" s="10">
        <v>-2155</v>
      </c>
      <c r="H13" s="10">
        <v>-2430</v>
      </c>
      <c r="I13" s="10">
        <v>-1869</v>
      </c>
      <c r="J13" s="10">
        <f t="shared" si="1"/>
        <v>-1</v>
      </c>
      <c r="S13" s="10">
        <v>-6199</v>
      </c>
      <c r="T13" s="10">
        <v>-6455</v>
      </c>
    </row>
    <row r="14" spans="2:26" x14ac:dyDescent="0.2">
      <c r="B14" s="3" t="s">
        <v>35</v>
      </c>
      <c r="C14" s="10">
        <v>-5</v>
      </c>
      <c r="D14" s="10">
        <v>-1</v>
      </c>
      <c r="E14" s="10">
        <v>-2</v>
      </c>
      <c r="F14" s="10">
        <f t="shared" si="0"/>
        <v>-1</v>
      </c>
      <c r="G14" s="10">
        <v>-4</v>
      </c>
      <c r="H14" s="10">
        <v>0</v>
      </c>
      <c r="I14" s="10">
        <v>-1</v>
      </c>
      <c r="J14" s="10">
        <f t="shared" si="1"/>
        <v>3</v>
      </c>
      <c r="S14" s="10">
        <v>-9</v>
      </c>
      <c r="T14" s="10">
        <v>-2</v>
      </c>
    </row>
    <row r="15" spans="2:26" x14ac:dyDescent="0.2">
      <c r="B15" s="3" t="s">
        <v>36</v>
      </c>
      <c r="C15" s="10">
        <f>+C10-SUM(C11:C14)</f>
        <v>-6056</v>
      </c>
      <c r="D15" s="10">
        <f>+D10-SUM(D11:D14)</f>
        <v>-7156</v>
      </c>
      <c r="E15" s="10">
        <f>+E10-SUM(E11:E14)</f>
        <v>-3458</v>
      </c>
      <c r="F15" s="10">
        <f t="shared" si="0"/>
        <v>-13241</v>
      </c>
      <c r="G15" s="10">
        <f>+G10-SUM(G11:G14)</f>
        <v>-10776</v>
      </c>
      <c r="H15" s="10">
        <f>+H10-SUM(H11:H14)</f>
        <v>-8630</v>
      </c>
      <c r="I15" s="10">
        <f>+I10-SUM(I11:I14)</f>
        <v>-8355</v>
      </c>
      <c r="J15" s="10">
        <f t="shared" si="1"/>
        <v>-9611</v>
      </c>
      <c r="S15" s="10">
        <f>+S10-SUM(S11:S14)</f>
        <v>-29911</v>
      </c>
      <c r="T15" s="10">
        <f>+T10-SUM(T11:T14)</f>
        <v>-37372</v>
      </c>
    </row>
    <row r="16" spans="2:26" x14ac:dyDescent="0.2">
      <c r="B16" s="3" t="s">
        <v>37</v>
      </c>
      <c r="C16" s="10">
        <v>0</v>
      </c>
      <c r="D16" s="10">
        <v>0</v>
      </c>
      <c r="E16" s="10">
        <v>0</v>
      </c>
      <c r="F16" s="10">
        <f t="shared" si="0"/>
        <v>0</v>
      </c>
      <c r="G16" s="10">
        <v>0</v>
      </c>
      <c r="H16" s="10">
        <v>0</v>
      </c>
      <c r="I16" s="10">
        <v>0</v>
      </c>
      <c r="J16" s="10">
        <f t="shared" si="1"/>
        <v>179</v>
      </c>
      <c r="S16" s="10">
        <v>0</v>
      </c>
      <c r="T16" s="10">
        <v>179</v>
      </c>
    </row>
    <row r="17" spans="2:20" x14ac:dyDescent="0.2">
      <c r="B17" s="3" t="s">
        <v>38</v>
      </c>
      <c r="C17" s="10">
        <f>+C15+C16</f>
        <v>-6056</v>
      </c>
      <c r="D17" s="10">
        <f>+D15+D16</f>
        <v>-7156</v>
      </c>
      <c r="E17" s="10">
        <f>+E15+E16</f>
        <v>-3458</v>
      </c>
      <c r="F17" s="10">
        <f t="shared" si="0"/>
        <v>-13241</v>
      </c>
      <c r="G17" s="10">
        <f>+G15+G16</f>
        <v>-10776</v>
      </c>
      <c r="H17" s="10">
        <f>+H15+H16</f>
        <v>-8630</v>
      </c>
      <c r="I17" s="10">
        <f>+I15+I16</f>
        <v>-8355</v>
      </c>
      <c r="J17" s="10">
        <f t="shared" si="1"/>
        <v>-9432</v>
      </c>
      <c r="S17" s="10">
        <f>+S15+S16</f>
        <v>-29911</v>
      </c>
      <c r="T17" s="10">
        <f>+T15+T16</f>
        <v>-37193</v>
      </c>
    </row>
    <row r="18" spans="2:20" x14ac:dyDescent="0.2">
      <c r="B18" s="3" t="s">
        <v>40</v>
      </c>
      <c r="C18" s="10">
        <v>65468</v>
      </c>
      <c r="D18" s="10">
        <v>44237</v>
      </c>
      <c r="E18" s="10">
        <v>2544</v>
      </c>
      <c r="F18" s="10">
        <f t="shared" si="0"/>
        <v>-109965</v>
      </c>
      <c r="G18" s="10">
        <v>65468</v>
      </c>
      <c r="H18" s="10">
        <v>68885</v>
      </c>
      <c r="I18" s="10">
        <v>10452</v>
      </c>
      <c r="J18" s="10">
        <f t="shared" si="1"/>
        <v>-136809</v>
      </c>
      <c r="S18" s="10">
        <v>2284</v>
      </c>
      <c r="T18" s="10">
        <v>7996</v>
      </c>
    </row>
    <row r="19" spans="2:20" x14ac:dyDescent="0.2">
      <c r="B19" s="3" t="s">
        <v>41</v>
      </c>
      <c r="C19" s="10">
        <f>+C17/C18</f>
        <v>-9.2503207673978127E-2</v>
      </c>
      <c r="D19" s="10">
        <f>+D17/D18</f>
        <v>-0.16176503831634154</v>
      </c>
      <c r="E19" s="10">
        <f>+E17/E18</f>
        <v>-1.3592767295597483</v>
      </c>
      <c r="F19" s="10">
        <f>+F17/F18</f>
        <v>0.12041103987632429</v>
      </c>
      <c r="G19" s="10">
        <f>+G17/G18</f>
        <v>-0.1645994989918739</v>
      </c>
      <c r="H19" s="10">
        <f>+H17/H18</f>
        <v>-0.12528126587791247</v>
      </c>
      <c r="I19" s="10">
        <f>+I17/I18</f>
        <v>-0.79936854190585538</v>
      </c>
      <c r="J19" s="10">
        <f>+J17/J18</f>
        <v>6.8942832708374452E-2</v>
      </c>
      <c r="S19" s="10">
        <f>+S17/S18</f>
        <v>-13.095884413309982</v>
      </c>
      <c r="T19" s="10">
        <f>+T17/T18</f>
        <v>-4.6514507253626816</v>
      </c>
    </row>
    <row r="21" spans="2:20" x14ac:dyDescent="0.2">
      <c r="B21" s="3" t="s">
        <v>42</v>
      </c>
      <c r="H21" s="11">
        <f>+H5/D5-1</f>
        <v>0.17330538085255065</v>
      </c>
      <c r="I21" s="11">
        <f>+I5/E5-1</f>
        <v>-9.0909090909090939E-2</v>
      </c>
      <c r="J21" s="11">
        <f>+J5/F5-1</f>
        <v>-0.66913123844731981</v>
      </c>
      <c r="K21" s="11"/>
      <c r="L21" s="11"/>
      <c r="M21" s="11"/>
      <c r="N21" s="11"/>
      <c r="T21" s="11">
        <f>+T5/S5-1</f>
        <v>-0.21064266540344234</v>
      </c>
    </row>
    <row r="22" spans="2:20" x14ac:dyDescent="0.2">
      <c r="B22" s="3" t="s">
        <v>28</v>
      </c>
      <c r="H22" s="11">
        <f>+H7/D7-1</f>
        <v>-0.55651703623580318</v>
      </c>
      <c r="I22" s="11">
        <f>+I7/E7-1</f>
        <v>8.9422756089422739E-2</v>
      </c>
      <c r="J22" s="11">
        <f>+J7/F7-1</f>
        <v>-0.51893234016139045</v>
      </c>
      <c r="K22" s="11"/>
      <c r="L22" s="11"/>
      <c r="M22" s="11"/>
      <c r="N22" s="11"/>
      <c r="T22" s="11">
        <f>+T7/S7-1</f>
        <v>-0.36861202185792352</v>
      </c>
    </row>
    <row r="24" spans="2:20" x14ac:dyDescent="0.2">
      <c r="B24" s="3" t="s">
        <v>68</v>
      </c>
      <c r="F24" s="10">
        <v>4896</v>
      </c>
      <c r="G24" s="10">
        <v>6851</v>
      </c>
      <c r="H24" s="10">
        <v>824</v>
      </c>
      <c r="I24" s="10">
        <v>4032</v>
      </c>
      <c r="J24" s="10">
        <v>3836</v>
      </c>
    </row>
    <row r="25" spans="2:20" x14ac:dyDescent="0.2">
      <c r="B25" s="3" t="s">
        <v>69</v>
      </c>
      <c r="F25" s="10">
        <v>1913</v>
      </c>
      <c r="G25" s="10">
        <v>1258</v>
      </c>
      <c r="H25" s="10">
        <v>627</v>
      </c>
      <c r="I25" s="10">
        <v>547</v>
      </c>
      <c r="J25" s="10">
        <v>777</v>
      </c>
    </row>
    <row r="26" spans="2:20" x14ac:dyDescent="0.2">
      <c r="B26" s="3" t="s">
        <v>70</v>
      </c>
      <c r="F26" s="10">
        <f>F24+F25</f>
        <v>6809</v>
      </c>
      <c r="G26" s="10">
        <v>8109</v>
      </c>
      <c r="H26" s="10">
        <f>H24+H25</f>
        <v>1451</v>
      </c>
      <c r="I26" s="10">
        <f>I24+I25</f>
        <v>4579</v>
      </c>
      <c r="J26" s="10">
        <f>J24+J25</f>
        <v>4613</v>
      </c>
    </row>
    <row r="27" spans="2:20" x14ac:dyDescent="0.2">
      <c r="B27" s="3" t="s">
        <v>71</v>
      </c>
      <c r="F27" s="10">
        <v>7616</v>
      </c>
      <c r="G27" s="10">
        <v>7633</v>
      </c>
      <c r="H27" s="10">
        <v>7628</v>
      </c>
      <c r="I27" s="10">
        <v>7622</v>
      </c>
      <c r="J27" s="10">
        <v>7735</v>
      </c>
    </row>
    <row r="28" spans="2:20" x14ac:dyDescent="0.2">
      <c r="B28" s="3" t="s">
        <v>61</v>
      </c>
      <c r="F28" s="10">
        <v>608</v>
      </c>
      <c r="G28" s="10">
        <v>849</v>
      </c>
      <c r="H28" s="10">
        <v>1591</v>
      </c>
      <c r="I28" s="10">
        <v>2052</v>
      </c>
      <c r="J28" s="10">
        <v>3050</v>
      </c>
    </row>
    <row r="29" spans="2:20" x14ac:dyDescent="0.2">
      <c r="B29" s="3" t="s">
        <v>72</v>
      </c>
      <c r="F29" s="10">
        <v>73872</v>
      </c>
      <c r="G29" s="10">
        <v>68623</v>
      </c>
      <c r="H29" s="10">
        <v>63637</v>
      </c>
      <c r="I29" s="10">
        <v>58665</v>
      </c>
      <c r="J29" s="10">
        <v>53658</v>
      </c>
    </row>
    <row r="30" spans="2:20" x14ac:dyDescent="0.2">
      <c r="B30" s="3" t="s">
        <v>74</v>
      </c>
      <c r="F30" s="10">
        <v>311</v>
      </c>
      <c r="G30" s="10">
        <v>311</v>
      </c>
      <c r="H30" s="10">
        <v>315</v>
      </c>
      <c r="I30" s="10">
        <v>319</v>
      </c>
      <c r="J30" s="10">
        <v>1532</v>
      </c>
    </row>
    <row r="31" spans="2:20" x14ac:dyDescent="0.2">
      <c r="B31" s="3" t="s">
        <v>75</v>
      </c>
      <c r="F31" s="10">
        <v>282</v>
      </c>
      <c r="G31" s="10">
        <v>243</v>
      </c>
      <c r="H31" s="10">
        <v>203</v>
      </c>
      <c r="I31" s="10">
        <v>172</v>
      </c>
      <c r="J31" s="10">
        <v>141</v>
      </c>
    </row>
    <row r="32" spans="2:20" x14ac:dyDescent="0.2">
      <c r="B32" s="3" t="s">
        <v>76</v>
      </c>
      <c r="F32" s="10">
        <v>6</v>
      </c>
      <c r="G32" s="10">
        <v>6</v>
      </c>
      <c r="H32" s="10">
        <v>6</v>
      </c>
      <c r="I32" s="10">
        <v>0</v>
      </c>
      <c r="J32" s="10">
        <v>0</v>
      </c>
    </row>
    <row r="33" spans="2:26" s="7" customFormat="1" x14ac:dyDescent="0.2">
      <c r="B33" s="7" t="s">
        <v>73</v>
      </c>
      <c r="C33" s="12"/>
      <c r="D33" s="12"/>
      <c r="E33" s="12"/>
      <c r="F33" s="12">
        <f>SUM(F26:F32)</f>
        <v>89504</v>
      </c>
      <c r="G33" s="12">
        <f>SUM(G26:G32)</f>
        <v>85774</v>
      </c>
      <c r="H33" s="12">
        <f>SUM(H26:H32)</f>
        <v>74831</v>
      </c>
      <c r="I33" s="12">
        <f>SUM(I26:I32)</f>
        <v>73409</v>
      </c>
      <c r="J33" s="12">
        <f>SUM(J26:J32)</f>
        <v>70729</v>
      </c>
      <c r="K33" s="12"/>
      <c r="L33" s="12"/>
      <c r="M33" s="12"/>
      <c r="N33" s="12"/>
      <c r="O33" s="12"/>
      <c r="P33" s="12"/>
      <c r="Q33" s="12"/>
      <c r="R33" s="12"/>
      <c r="S33" s="12"/>
      <c r="T33" s="12"/>
      <c r="U33" s="12"/>
      <c r="V33" s="12"/>
      <c r="W33" s="12"/>
      <c r="X33" s="12"/>
      <c r="Y33" s="12"/>
      <c r="Z33" s="12"/>
    </row>
    <row r="35" spans="2:26" x14ac:dyDescent="0.2">
      <c r="B35" s="3" t="s">
        <v>52</v>
      </c>
      <c r="F35" s="10">
        <v>9567</v>
      </c>
      <c r="G35" s="10">
        <v>7390</v>
      </c>
      <c r="H35" s="10">
        <v>9324</v>
      </c>
      <c r="I35" s="10">
        <v>6056</v>
      </c>
      <c r="J35" s="10">
        <v>6352</v>
      </c>
    </row>
    <row r="36" spans="2:26" x14ac:dyDescent="0.2">
      <c r="B36" s="3" t="s">
        <v>77</v>
      </c>
      <c r="F36" s="10">
        <v>141</v>
      </c>
      <c r="G36" s="10">
        <v>121</v>
      </c>
      <c r="H36" s="10">
        <v>101</v>
      </c>
      <c r="I36" s="10">
        <v>91</v>
      </c>
      <c r="J36" s="10">
        <v>81</v>
      </c>
    </row>
    <row r="37" spans="2:26" x14ac:dyDescent="0.2">
      <c r="B37" s="3" t="s">
        <v>78</v>
      </c>
      <c r="F37" s="10">
        <f>+F35+F36</f>
        <v>9708</v>
      </c>
      <c r="G37" s="10">
        <f>+G35+G36</f>
        <v>7511</v>
      </c>
      <c r="H37" s="10">
        <f>+H35+H36</f>
        <v>9425</v>
      </c>
      <c r="I37" s="10">
        <f>+I35+I36</f>
        <v>6147</v>
      </c>
      <c r="J37" s="10">
        <f>+J35+J36</f>
        <v>6433</v>
      </c>
    </row>
    <row r="38" spans="2:26" x14ac:dyDescent="0.2">
      <c r="B38" s="3" t="s">
        <v>79</v>
      </c>
      <c r="F38" s="10">
        <v>64831</v>
      </c>
      <c r="G38" s="10">
        <v>72431</v>
      </c>
      <c r="H38" s="10">
        <v>72836</v>
      </c>
      <c r="I38" s="10">
        <v>33</v>
      </c>
      <c r="J38" s="10">
        <v>22</v>
      </c>
    </row>
    <row r="39" spans="2:26" x14ac:dyDescent="0.2">
      <c r="B39" s="3" t="s">
        <v>80</v>
      </c>
      <c r="F39" s="10">
        <v>3315</v>
      </c>
      <c r="G39" s="10">
        <v>2771</v>
      </c>
      <c r="H39" s="10">
        <v>0</v>
      </c>
      <c r="I39" s="10">
        <v>0</v>
      </c>
      <c r="J39" s="10">
        <v>0</v>
      </c>
    </row>
    <row r="40" spans="2:26" x14ac:dyDescent="0.2">
      <c r="B40" s="3" t="s">
        <v>81</v>
      </c>
      <c r="F40" s="10">
        <v>149</v>
      </c>
      <c r="G40" s="10">
        <v>130</v>
      </c>
      <c r="H40" s="10">
        <v>110</v>
      </c>
      <c r="I40" s="10">
        <v>90</v>
      </c>
      <c r="J40" s="10">
        <v>68</v>
      </c>
    </row>
    <row r="41" spans="2:26" x14ac:dyDescent="0.2">
      <c r="B41" s="3" t="s">
        <v>82</v>
      </c>
      <c r="F41" s="10">
        <v>795</v>
      </c>
      <c r="G41" s="10">
        <v>837</v>
      </c>
      <c r="H41" s="10">
        <v>857</v>
      </c>
      <c r="I41" s="10">
        <v>877</v>
      </c>
      <c r="J41" s="10">
        <v>1016</v>
      </c>
    </row>
    <row r="42" spans="2:26" x14ac:dyDescent="0.2">
      <c r="B42" s="3" t="s">
        <v>83</v>
      </c>
      <c r="F42" s="10">
        <v>10706</v>
      </c>
      <c r="G42" s="10">
        <v>2094</v>
      </c>
      <c r="H42" s="10">
        <v>66262</v>
      </c>
      <c r="I42" s="10">
        <v>66262</v>
      </c>
      <c r="J42" s="10">
        <v>63190</v>
      </c>
    </row>
    <row r="43" spans="2:26" s="7" customFormat="1" x14ac:dyDescent="0.2">
      <c r="B43" s="7" t="s">
        <v>84</v>
      </c>
      <c r="C43" s="12"/>
      <c r="D43" s="12"/>
      <c r="E43" s="12"/>
      <c r="F43" s="12">
        <f>SUM(F37:F42)</f>
        <v>89504</v>
      </c>
      <c r="G43" s="12">
        <f>SUM(G37:G42)</f>
        <v>85774</v>
      </c>
      <c r="H43" s="12">
        <f>SUM(H37:H42)</f>
        <v>149490</v>
      </c>
      <c r="I43" s="12">
        <f>SUM(I37:I42)</f>
        <v>73409</v>
      </c>
      <c r="J43" s="12">
        <f>SUM(J37:J42)</f>
        <v>70729</v>
      </c>
      <c r="K43" s="12"/>
      <c r="L43" s="12"/>
      <c r="M43" s="12"/>
      <c r="N43" s="12"/>
      <c r="O43" s="12"/>
      <c r="P43" s="12"/>
      <c r="Q43" s="12"/>
      <c r="R43" s="12"/>
      <c r="S43" s="12"/>
      <c r="T43" s="12"/>
      <c r="U43" s="12"/>
      <c r="V43" s="12"/>
      <c r="W43" s="12"/>
      <c r="X43" s="12"/>
      <c r="Y43" s="12"/>
      <c r="Z43" s="12"/>
    </row>
    <row r="45" spans="2:26" x14ac:dyDescent="0.2">
      <c r="B45" s="3" t="s">
        <v>38</v>
      </c>
      <c r="G45" s="10">
        <v>-12859</v>
      </c>
      <c r="H45" s="10">
        <f>+-27121-G45</f>
        <v>-14262</v>
      </c>
      <c r="I45" s="10">
        <f>+-21841-SUM(G45:H45)</f>
        <v>5280</v>
      </c>
      <c r="J45" s="10">
        <f>+T45-SUM(G45:I45)</f>
        <v>-9714</v>
      </c>
      <c r="T45" s="10">
        <v>-31555</v>
      </c>
    </row>
    <row r="46" spans="2:26" x14ac:dyDescent="0.2">
      <c r="B46" s="3" t="s">
        <v>30</v>
      </c>
      <c r="G46" s="10">
        <v>4972</v>
      </c>
      <c r="H46" s="10">
        <f>9962-G46</f>
        <v>4990</v>
      </c>
      <c r="I46" s="10">
        <f>14955-SUM(G46:H46)</f>
        <v>4993</v>
      </c>
      <c r="J46" s="10">
        <f t="shared" ref="J46:J58" si="2">+T46-SUM(G46:I46)</f>
        <v>4992</v>
      </c>
      <c r="T46" s="10">
        <v>19947</v>
      </c>
    </row>
    <row r="47" spans="2:26" x14ac:dyDescent="0.2">
      <c r="B47" s="3" t="s">
        <v>43</v>
      </c>
      <c r="G47" s="10">
        <v>1350</v>
      </c>
      <c r="H47" s="10">
        <f>1529-G47</f>
        <v>179</v>
      </c>
      <c r="I47" s="10">
        <f>1841-SUM(G47:H47)</f>
        <v>312</v>
      </c>
      <c r="J47" s="10">
        <f t="shared" si="2"/>
        <v>258</v>
      </c>
      <c r="T47" s="10">
        <v>2099</v>
      </c>
    </row>
    <row r="48" spans="2:26" x14ac:dyDescent="0.2">
      <c r="B48" s="3" t="s">
        <v>44</v>
      </c>
      <c r="G48" s="10">
        <v>0</v>
      </c>
      <c r="I48" s="10">
        <f>+-17333-SUM(G48:H48)</f>
        <v>-17333</v>
      </c>
      <c r="J48" s="10">
        <f t="shared" si="2"/>
        <v>0</v>
      </c>
      <c r="T48" s="10">
        <v>-17333</v>
      </c>
    </row>
    <row r="49" spans="2:26" x14ac:dyDescent="0.2">
      <c r="B49" s="3" t="s">
        <v>45</v>
      </c>
      <c r="G49" s="10">
        <v>-2187</v>
      </c>
      <c r="H49" s="10">
        <f>+-1357-G49</f>
        <v>830</v>
      </c>
      <c r="I49" s="10">
        <f>+-1357-SUM(G49:H49)</f>
        <v>0</v>
      </c>
      <c r="J49" s="10">
        <f t="shared" si="2"/>
        <v>0</v>
      </c>
      <c r="T49" s="10">
        <v>-1357</v>
      </c>
    </row>
    <row r="50" spans="2:26" x14ac:dyDescent="0.2">
      <c r="B50" s="3" t="s">
        <v>46</v>
      </c>
      <c r="G50" s="10">
        <v>0</v>
      </c>
      <c r="I50" s="10">
        <f>+-837-SUM(G50:H50)</f>
        <v>-837</v>
      </c>
      <c r="J50" s="10">
        <f t="shared" si="2"/>
        <v>0</v>
      </c>
      <c r="T50" s="10">
        <v>-837</v>
      </c>
    </row>
    <row r="51" spans="2:26" x14ac:dyDescent="0.2">
      <c r="B51" s="3" t="s">
        <v>47</v>
      </c>
      <c r="G51" s="10">
        <v>0</v>
      </c>
      <c r="H51" s="10">
        <f>39-G51</f>
        <v>39</v>
      </c>
      <c r="I51" s="10">
        <f>59-SUM(G51:H51)</f>
        <v>20</v>
      </c>
      <c r="J51" s="10">
        <f t="shared" si="2"/>
        <v>21</v>
      </c>
      <c r="T51" s="10">
        <v>80</v>
      </c>
    </row>
    <row r="52" spans="2:26" x14ac:dyDescent="0.2">
      <c r="B52" s="3" t="s">
        <v>48</v>
      </c>
      <c r="G52" s="10">
        <v>19</v>
      </c>
      <c r="H52" s="10">
        <f>758-G52</f>
        <v>739</v>
      </c>
      <c r="I52" s="10">
        <f>1095-SUM(G52:H52)</f>
        <v>337</v>
      </c>
      <c r="J52" s="10">
        <f t="shared" si="2"/>
        <v>0</v>
      </c>
      <c r="T52" s="10">
        <v>1095</v>
      </c>
    </row>
    <row r="53" spans="2:26" x14ac:dyDescent="0.2">
      <c r="B53" s="3" t="s">
        <v>49</v>
      </c>
      <c r="G53" s="10">
        <v>324</v>
      </c>
      <c r="H53" s="10">
        <f>79-G53</f>
        <v>-245</v>
      </c>
      <c r="I53" s="10">
        <f>110-SUM(G53:H53)</f>
        <v>31</v>
      </c>
      <c r="J53" s="10">
        <f t="shared" si="2"/>
        <v>31</v>
      </c>
      <c r="T53" s="10">
        <v>141</v>
      </c>
    </row>
    <row r="54" spans="2:26" x14ac:dyDescent="0.2">
      <c r="B54" s="3" t="s">
        <v>50</v>
      </c>
      <c r="G54" s="10">
        <v>39</v>
      </c>
      <c r="H54" s="10">
        <f>+-4-G54</f>
        <v>-43</v>
      </c>
      <c r="I54" s="10">
        <f>+-8-SUM(G54:H54)</f>
        <v>-4</v>
      </c>
      <c r="J54" s="10">
        <f t="shared" si="2"/>
        <v>-13</v>
      </c>
      <c r="T54" s="10">
        <v>-21</v>
      </c>
    </row>
    <row r="55" spans="2:26" x14ac:dyDescent="0.2">
      <c r="B55" s="3" t="s">
        <v>85</v>
      </c>
      <c r="J55" s="10">
        <f t="shared" si="2"/>
        <v>-4</v>
      </c>
      <c r="T55" s="10">
        <v>-4</v>
      </c>
    </row>
    <row r="56" spans="2:26" x14ac:dyDescent="0.2">
      <c r="B56" s="3" t="s">
        <v>51</v>
      </c>
      <c r="G56" s="10">
        <v>655</v>
      </c>
      <c r="H56" s="10">
        <f>1286-G56</f>
        <v>631</v>
      </c>
      <c r="I56" s="10">
        <f>1366-SUM(G56:H56)</f>
        <v>80</v>
      </c>
      <c r="J56" s="10">
        <f t="shared" si="2"/>
        <v>-230</v>
      </c>
      <c r="T56" s="10">
        <v>1136</v>
      </c>
    </row>
    <row r="57" spans="2:26" x14ac:dyDescent="0.2">
      <c r="B57" s="3" t="s">
        <v>86</v>
      </c>
      <c r="J57" s="10">
        <f t="shared" si="2"/>
        <v>-1200</v>
      </c>
      <c r="T57" s="10">
        <v>-1200</v>
      </c>
    </row>
    <row r="58" spans="2:26" x14ac:dyDescent="0.2">
      <c r="B58" s="3" t="s">
        <v>52</v>
      </c>
      <c r="G58" s="10">
        <v>1312</v>
      </c>
      <c r="H58" s="10">
        <f>3152-G58</f>
        <v>1840</v>
      </c>
      <c r="I58" s="10">
        <f>4543-SUM(G58:H58)</f>
        <v>1391</v>
      </c>
      <c r="J58" s="10">
        <f t="shared" si="2"/>
        <v>-374</v>
      </c>
      <c r="T58" s="10">
        <v>4169</v>
      </c>
    </row>
    <row r="59" spans="2:26" s="7" customFormat="1" x14ac:dyDescent="0.2">
      <c r="B59" s="7" t="s">
        <v>53</v>
      </c>
      <c r="C59" s="12"/>
      <c r="D59" s="12"/>
      <c r="E59" s="12"/>
      <c r="F59" s="12"/>
      <c r="G59" s="12">
        <f>+SUM(G45:G58)</f>
        <v>-6375</v>
      </c>
      <c r="H59" s="12">
        <f>+SUM(H45:H58)</f>
        <v>-5302</v>
      </c>
      <c r="I59" s="12">
        <f>+SUM(I45:I58)</f>
        <v>-5730</v>
      </c>
      <c r="J59" s="12">
        <f>+SUM(J45:J58)</f>
        <v>-6233</v>
      </c>
      <c r="K59" s="12">
        <f>+SUM(K45:K58)</f>
        <v>0</v>
      </c>
      <c r="L59" s="12"/>
      <c r="M59" s="12"/>
      <c r="N59" s="12"/>
      <c r="O59" s="12"/>
      <c r="P59" s="12"/>
      <c r="Q59" s="12"/>
      <c r="R59" s="12"/>
      <c r="S59" s="12"/>
      <c r="T59" s="12">
        <f>+SUM(T45:T58)</f>
        <v>-23640</v>
      </c>
      <c r="U59" s="12"/>
      <c r="V59" s="12"/>
      <c r="W59" s="12"/>
      <c r="X59" s="12"/>
      <c r="Y59" s="12"/>
      <c r="Z59" s="12"/>
    </row>
    <row r="61" spans="2:26" x14ac:dyDescent="0.2">
      <c r="B61" s="3" t="s">
        <v>61</v>
      </c>
      <c r="G61" s="10">
        <v>-475</v>
      </c>
      <c r="H61" s="10">
        <f>+-856-G61</f>
        <v>-381</v>
      </c>
      <c r="I61" s="10">
        <f>+-1377-SUM(G61:H61)</f>
        <v>-521</v>
      </c>
      <c r="J61" s="10">
        <f t="shared" ref="J61:J63" si="3">+T61-SUM(G61:I61)</f>
        <v>-564</v>
      </c>
      <c r="K61" s="10">
        <f>AVERAGE(I61:J61)</f>
        <v>-542.5</v>
      </c>
      <c r="T61" s="10">
        <v>-1941</v>
      </c>
    </row>
    <row r="62" spans="2:26" x14ac:dyDescent="0.2">
      <c r="B62" s="3" t="s">
        <v>62</v>
      </c>
      <c r="G62" s="10">
        <v>-11</v>
      </c>
      <c r="H62" s="10">
        <f>+-11-G62</f>
        <v>0</v>
      </c>
      <c r="I62" s="10">
        <f>+-104-SUM(G62:H62)</f>
        <v>-93</v>
      </c>
      <c r="J62" s="10">
        <f t="shared" si="3"/>
        <v>-10</v>
      </c>
      <c r="T62" s="10">
        <f>+-124+10</f>
        <v>-114</v>
      </c>
    </row>
    <row r="63" spans="2:26" x14ac:dyDescent="0.2">
      <c r="B63" s="3" t="s">
        <v>63</v>
      </c>
      <c r="G63" s="10">
        <v>86</v>
      </c>
      <c r="H63" s="10">
        <f>86-G63</f>
        <v>0</v>
      </c>
      <c r="I63" s="10">
        <f>86-SUM(G63:H63)</f>
        <v>0</v>
      </c>
      <c r="J63" s="10">
        <f t="shared" si="3"/>
        <v>0</v>
      </c>
      <c r="T63" s="10">
        <v>86</v>
      </c>
    </row>
    <row r="64" spans="2:26" s="7" customFormat="1" x14ac:dyDescent="0.2">
      <c r="B64" s="7" t="s">
        <v>64</v>
      </c>
      <c r="C64" s="12"/>
      <c r="D64" s="12"/>
      <c r="E64" s="12"/>
      <c r="F64" s="12"/>
      <c r="G64" s="12">
        <f>+SUM(G61:G63)</f>
        <v>-400</v>
      </c>
      <c r="H64" s="12">
        <f>+SUM(H61:H63)</f>
        <v>-381</v>
      </c>
      <c r="I64" s="12">
        <f>+SUM(I61:I63)</f>
        <v>-614</v>
      </c>
      <c r="J64" s="12">
        <f>+SUM(J61:J63)</f>
        <v>-574</v>
      </c>
      <c r="K64" s="12">
        <f>+SUM(K61:K63)</f>
        <v>-542.5</v>
      </c>
      <c r="L64" s="12"/>
      <c r="M64" s="12"/>
      <c r="N64" s="12"/>
      <c r="O64" s="12"/>
      <c r="P64" s="12"/>
      <c r="Q64" s="12"/>
      <c r="R64" s="12"/>
      <c r="S64" s="12"/>
      <c r="T64" s="12">
        <f>+SUM(T61:T63)</f>
        <v>-1969</v>
      </c>
      <c r="U64" s="12"/>
      <c r="V64" s="12"/>
      <c r="W64" s="12"/>
      <c r="X64" s="12"/>
      <c r="Y64" s="12"/>
      <c r="Z64" s="12"/>
    </row>
    <row r="66" spans="2:26" x14ac:dyDescent="0.2">
      <c r="B66" s="3" t="s">
        <v>54</v>
      </c>
      <c r="G66" s="13">
        <v>3144</v>
      </c>
      <c r="H66" s="10">
        <f>3018-G66</f>
        <v>-126</v>
      </c>
      <c r="I66" s="10">
        <f>3018-SUM(G66:H66)</f>
        <v>0</v>
      </c>
      <c r="J66" s="13">
        <f>+T66-SUM(G66:I66)</f>
        <v>6624</v>
      </c>
      <c r="K66" s="13"/>
      <c r="L66" s="13"/>
      <c r="M66" s="13"/>
      <c r="N66" s="13"/>
      <c r="T66" s="10">
        <v>9642</v>
      </c>
    </row>
    <row r="67" spans="2:26" x14ac:dyDescent="0.2">
      <c r="B67" s="3" t="s">
        <v>55</v>
      </c>
      <c r="G67" s="10">
        <v>0</v>
      </c>
      <c r="H67" s="10">
        <v>0</v>
      </c>
      <c r="I67" s="13">
        <f>4891-SUM(G67:H67)</f>
        <v>4891</v>
      </c>
      <c r="J67" s="10">
        <f>+T67-SUM(G67:I67)</f>
        <v>0</v>
      </c>
      <c r="T67" s="10">
        <v>4891</v>
      </c>
    </row>
    <row r="68" spans="2:26" x14ac:dyDescent="0.2">
      <c r="B68" s="3" t="s">
        <v>56</v>
      </c>
      <c r="G68" s="13">
        <v>6000</v>
      </c>
      <c r="H68" s="10">
        <f>6000-G68</f>
        <v>0</v>
      </c>
      <c r="I68" s="13">
        <f>11000-SUM(G68:H68)</f>
        <v>5000</v>
      </c>
      <c r="J68" s="10">
        <f>+T68-SUM(G68:I68)</f>
        <v>0</v>
      </c>
      <c r="T68" s="10">
        <v>11000</v>
      </c>
    </row>
    <row r="69" spans="2:26" x14ac:dyDescent="0.2">
      <c r="B69" s="3" t="s">
        <v>57</v>
      </c>
      <c r="G69" s="10">
        <v>-282</v>
      </c>
      <c r="H69" s="10">
        <f>+-480-G69</f>
        <v>-198</v>
      </c>
      <c r="I69" s="10">
        <f>+-764-SUM(G69:H69)</f>
        <v>-284</v>
      </c>
      <c r="J69" s="10">
        <f>+T69-SUM(G69:I69)</f>
        <v>0</v>
      </c>
      <c r="T69" s="10">
        <v>-764</v>
      </c>
    </row>
    <row r="70" spans="2:26" x14ac:dyDescent="0.2">
      <c r="B70" s="3" t="s">
        <v>58</v>
      </c>
      <c r="G70" s="10">
        <v>-10</v>
      </c>
      <c r="H70" s="10">
        <f>+-21-G70</f>
        <v>-11</v>
      </c>
      <c r="I70" s="10">
        <f>+-31-SUM(G70:H70)</f>
        <v>-10</v>
      </c>
      <c r="J70" s="10">
        <f>+T70-SUM(G70:I70)</f>
        <v>-11</v>
      </c>
      <c r="T70" s="10">
        <v>-42</v>
      </c>
    </row>
    <row r="71" spans="2:26" x14ac:dyDescent="0.2">
      <c r="B71" s="3" t="s">
        <v>59</v>
      </c>
      <c r="G71" s="10">
        <v>-122</v>
      </c>
      <c r="H71" s="10">
        <f>+-131-G71</f>
        <v>-9</v>
      </c>
      <c r="I71" s="10">
        <f>+-176-SUM(G71:H71)</f>
        <v>-45</v>
      </c>
      <c r="J71" s="10">
        <f>+T71-SUM(G71:I71)</f>
        <v>-2</v>
      </c>
      <c r="T71" s="10">
        <v>-178</v>
      </c>
    </row>
    <row r="72" spans="2:26" s="7" customFormat="1" x14ac:dyDescent="0.2">
      <c r="B72" s="7" t="s">
        <v>60</v>
      </c>
      <c r="C72" s="12"/>
      <c r="D72" s="12"/>
      <c r="E72" s="12"/>
      <c r="F72" s="12"/>
      <c r="G72" s="12">
        <f>+SUM(G66:G71)</f>
        <v>8730</v>
      </c>
      <c r="H72" s="12">
        <f>+SUM(H66:H71)</f>
        <v>-344</v>
      </c>
      <c r="I72" s="12">
        <f>+SUM(I66:I71)</f>
        <v>9552</v>
      </c>
      <c r="J72" s="12">
        <f>+SUM(J66:J71)</f>
        <v>6611</v>
      </c>
      <c r="K72" s="12"/>
      <c r="L72" s="12"/>
      <c r="M72" s="12"/>
      <c r="N72" s="12"/>
      <c r="O72" s="12"/>
      <c r="P72" s="12"/>
      <c r="Q72" s="12"/>
      <c r="R72" s="12"/>
      <c r="S72" s="12"/>
      <c r="T72" s="12">
        <f>+SUM(T66:T71)</f>
        <v>24549</v>
      </c>
      <c r="U72" s="12"/>
      <c r="V72" s="12"/>
      <c r="W72" s="12"/>
      <c r="X72" s="12"/>
      <c r="Y72" s="12"/>
      <c r="Z72" s="12"/>
    </row>
    <row r="74" spans="2:26" s="7" customFormat="1" x14ac:dyDescent="0.2">
      <c r="B74" s="7" t="s">
        <v>65</v>
      </c>
      <c r="C74" s="12"/>
      <c r="D74" s="12"/>
      <c r="E74" s="12"/>
      <c r="F74" s="12"/>
      <c r="G74" s="12">
        <f>+G59+G64+G72</f>
        <v>1955</v>
      </c>
      <c r="H74" s="12">
        <f>+H59+H64+H72</f>
        <v>-6027</v>
      </c>
      <c r="I74" s="12">
        <f>+I59+I64+I72</f>
        <v>3208</v>
      </c>
      <c r="J74" s="12">
        <f>+J59+J64+J72</f>
        <v>-196</v>
      </c>
      <c r="K74" s="12"/>
      <c r="L74" s="12"/>
      <c r="M74" s="12"/>
      <c r="N74" s="12"/>
      <c r="O74" s="12"/>
      <c r="P74" s="12"/>
      <c r="Q74" s="12"/>
      <c r="R74" s="12"/>
      <c r="S74" s="12"/>
      <c r="T74" s="12">
        <f>+T59+T64+T72</f>
        <v>-1060</v>
      </c>
      <c r="U74" s="12"/>
      <c r="V74" s="12"/>
      <c r="W74" s="12"/>
      <c r="X74" s="12"/>
      <c r="Y74" s="12"/>
      <c r="Z74" s="12"/>
    </row>
    <row r="75" spans="2:26" x14ac:dyDescent="0.2">
      <c r="B75" s="3" t="s">
        <v>66</v>
      </c>
      <c r="G75" s="10">
        <v>4896</v>
      </c>
      <c r="H75" s="10">
        <f>+G76</f>
        <v>6851</v>
      </c>
      <c r="I75" s="10">
        <f>+H76</f>
        <v>824</v>
      </c>
      <c r="J75" s="10">
        <f>+I76</f>
        <v>4032</v>
      </c>
      <c r="T75" s="10">
        <f>+G75</f>
        <v>4896</v>
      </c>
    </row>
    <row r="76" spans="2:26" x14ac:dyDescent="0.2">
      <c r="B76" s="3" t="s">
        <v>67</v>
      </c>
      <c r="G76" s="10">
        <f>+G74+G75</f>
        <v>6851</v>
      </c>
      <c r="H76" s="10">
        <f>+H74+H75</f>
        <v>824</v>
      </c>
      <c r="I76" s="10">
        <f>+I74+I75</f>
        <v>4032</v>
      </c>
      <c r="J76" s="10">
        <f>+J74+J75</f>
        <v>3836</v>
      </c>
      <c r="T76" s="10">
        <f>+T74+T75</f>
        <v>3836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553F1B-B617-EE4E-9C21-5A848EE2460C}">
  <dimension ref="B2:AT36"/>
  <sheetViews>
    <sheetView showGridLines="0" zoomScale="165" zoomScaleNormal="159" workbookViewId="0">
      <pane xSplit="4" ySplit="4" topLeftCell="E8" activePane="bottomRight" state="frozen"/>
      <selection pane="topRight" activeCell="E1" sqref="E1"/>
      <selection pane="bottomLeft" activeCell="A5" sqref="A5"/>
      <selection pane="bottomRight" activeCell="G29" sqref="G29"/>
    </sheetView>
  </sheetViews>
  <sheetFormatPr baseColWidth="10" defaultRowHeight="16" x14ac:dyDescent="0.2"/>
  <cols>
    <col min="1" max="1" width="3" customWidth="1"/>
    <col min="2" max="2" width="16.33203125" bestFit="1" customWidth="1"/>
    <col min="3" max="3" width="9.5" style="3" bestFit="1" customWidth="1"/>
    <col min="4" max="4" width="5.6640625" bestFit="1" customWidth="1"/>
    <col min="5" max="5" width="13.83203125" bestFit="1" customWidth="1"/>
    <col min="6" max="7" width="6.1640625" bestFit="1" customWidth="1"/>
    <col min="8" max="8" width="10.5" bestFit="1" customWidth="1"/>
    <col min="9" max="46" width="7" bestFit="1" customWidth="1"/>
  </cols>
  <sheetData>
    <row r="2" spans="2:46" x14ac:dyDescent="0.2">
      <c r="E2" s="15" t="s">
        <v>117</v>
      </c>
      <c r="F2" s="16"/>
      <c r="G2" s="17"/>
      <c r="H2" s="15" t="s">
        <v>123</v>
      </c>
      <c r="I2" s="16"/>
      <c r="J2" s="16"/>
      <c r="K2" s="16"/>
      <c r="L2" s="16"/>
      <c r="M2" s="16"/>
      <c r="N2" s="16"/>
      <c r="O2" s="16"/>
      <c r="P2" s="16"/>
      <c r="Q2" s="16"/>
      <c r="R2" s="16"/>
      <c r="S2" s="16"/>
      <c r="T2" s="16"/>
      <c r="U2" s="16"/>
      <c r="V2" s="16"/>
      <c r="W2" s="16"/>
      <c r="X2" s="16"/>
      <c r="Y2" s="16"/>
      <c r="Z2" s="16"/>
      <c r="AA2" s="16"/>
      <c r="AB2" s="16"/>
      <c r="AC2" s="16"/>
      <c r="AD2" s="16"/>
      <c r="AE2" s="16"/>
      <c r="AF2" s="16"/>
      <c r="AG2" s="16"/>
      <c r="AH2" s="16"/>
      <c r="AI2" s="16"/>
      <c r="AJ2" s="16"/>
      <c r="AK2" s="16"/>
      <c r="AL2" s="16"/>
      <c r="AM2" s="16"/>
      <c r="AN2" s="16"/>
      <c r="AO2" s="16"/>
      <c r="AP2" s="16"/>
      <c r="AQ2" s="16"/>
      <c r="AR2" s="16"/>
      <c r="AS2" s="16"/>
      <c r="AT2" s="17"/>
    </row>
    <row r="3" spans="2:46" x14ac:dyDescent="0.2">
      <c r="E3" s="25">
        <v>0</v>
      </c>
      <c r="F3" s="25">
        <v>0</v>
      </c>
      <c r="G3" s="25">
        <v>0</v>
      </c>
      <c r="H3" s="25">
        <f t="shared" ref="G3:AE3" si="0">+G3+1</f>
        <v>1</v>
      </c>
      <c r="I3" s="25">
        <f t="shared" si="0"/>
        <v>2</v>
      </c>
      <c r="J3" s="25">
        <f t="shared" si="0"/>
        <v>3</v>
      </c>
      <c r="K3" s="25">
        <f t="shared" si="0"/>
        <v>4</v>
      </c>
      <c r="L3" s="25">
        <f t="shared" si="0"/>
        <v>5</v>
      </c>
      <c r="M3" s="25">
        <f t="shared" si="0"/>
        <v>6</v>
      </c>
      <c r="N3" s="25">
        <f t="shared" si="0"/>
        <v>7</v>
      </c>
      <c r="O3" s="25">
        <f t="shared" si="0"/>
        <v>8</v>
      </c>
      <c r="P3" s="25">
        <f t="shared" si="0"/>
        <v>9</v>
      </c>
      <c r="Q3" s="25">
        <f t="shared" si="0"/>
        <v>10</v>
      </c>
      <c r="R3" s="25">
        <f t="shared" si="0"/>
        <v>11</v>
      </c>
      <c r="S3" s="25">
        <f t="shared" si="0"/>
        <v>12</v>
      </c>
      <c r="T3" s="25">
        <f t="shared" si="0"/>
        <v>13</v>
      </c>
      <c r="U3" s="25">
        <f t="shared" si="0"/>
        <v>14</v>
      </c>
      <c r="V3" s="25">
        <f t="shared" si="0"/>
        <v>15</v>
      </c>
      <c r="W3" s="25">
        <f t="shared" si="0"/>
        <v>16</v>
      </c>
      <c r="X3" s="25">
        <f t="shared" si="0"/>
        <v>17</v>
      </c>
      <c r="Y3" s="25">
        <f t="shared" si="0"/>
        <v>18</v>
      </c>
      <c r="Z3" s="25">
        <f t="shared" si="0"/>
        <v>19</v>
      </c>
      <c r="AA3" s="25">
        <f t="shared" si="0"/>
        <v>20</v>
      </c>
      <c r="AB3" s="25">
        <f t="shared" si="0"/>
        <v>21</v>
      </c>
      <c r="AC3" s="25">
        <f t="shared" si="0"/>
        <v>22</v>
      </c>
      <c r="AD3" s="25">
        <f t="shared" si="0"/>
        <v>23</v>
      </c>
      <c r="AE3" s="25">
        <f t="shared" si="0"/>
        <v>24</v>
      </c>
      <c r="AF3" s="25">
        <f t="shared" ref="AF3:AN3" si="1">+AE3+1</f>
        <v>25</v>
      </c>
      <c r="AG3" s="25">
        <f t="shared" si="1"/>
        <v>26</v>
      </c>
      <c r="AH3" s="25">
        <f t="shared" si="1"/>
        <v>27</v>
      </c>
      <c r="AI3" s="25">
        <f t="shared" si="1"/>
        <v>28</v>
      </c>
      <c r="AJ3" s="25">
        <f t="shared" si="1"/>
        <v>29</v>
      </c>
      <c r="AK3" s="25">
        <f t="shared" si="1"/>
        <v>30</v>
      </c>
      <c r="AL3" s="25">
        <f t="shared" si="1"/>
        <v>31</v>
      </c>
      <c r="AM3" s="25">
        <f t="shared" si="1"/>
        <v>32</v>
      </c>
      <c r="AN3" s="25">
        <f t="shared" si="1"/>
        <v>33</v>
      </c>
      <c r="AO3" s="25">
        <f t="shared" ref="AO3:AS3" si="2">+AN3+1</f>
        <v>34</v>
      </c>
      <c r="AP3" s="25">
        <f t="shared" si="2"/>
        <v>35</v>
      </c>
      <c r="AQ3" s="25">
        <f t="shared" si="2"/>
        <v>36</v>
      </c>
      <c r="AR3" s="25">
        <f t="shared" si="2"/>
        <v>37</v>
      </c>
      <c r="AS3" s="25">
        <f t="shared" si="2"/>
        <v>38</v>
      </c>
      <c r="AT3" s="25">
        <f t="shared" ref="AT3" si="3">+AS3+1</f>
        <v>39</v>
      </c>
    </row>
    <row r="4" spans="2:46" x14ac:dyDescent="0.2">
      <c r="B4" s="16" t="s">
        <v>114</v>
      </c>
      <c r="C4" s="24" t="s">
        <v>118</v>
      </c>
      <c r="D4" s="16" t="s">
        <v>119</v>
      </c>
      <c r="E4" s="16">
        <v>2026</v>
      </c>
      <c r="F4" s="16">
        <f>+E4+1</f>
        <v>2027</v>
      </c>
      <c r="G4" s="16">
        <f t="shared" ref="G4:AE4" si="4">+F4+1</f>
        <v>2028</v>
      </c>
      <c r="H4" s="16">
        <f t="shared" si="4"/>
        <v>2029</v>
      </c>
      <c r="I4" s="16">
        <f t="shared" si="4"/>
        <v>2030</v>
      </c>
      <c r="J4" s="16">
        <f t="shared" si="4"/>
        <v>2031</v>
      </c>
      <c r="K4" s="16">
        <f t="shared" si="4"/>
        <v>2032</v>
      </c>
      <c r="L4" s="16">
        <f t="shared" si="4"/>
        <v>2033</v>
      </c>
      <c r="M4" s="16">
        <f t="shared" si="4"/>
        <v>2034</v>
      </c>
      <c r="N4" s="16">
        <f t="shared" si="4"/>
        <v>2035</v>
      </c>
      <c r="O4" s="16">
        <f t="shared" si="4"/>
        <v>2036</v>
      </c>
      <c r="P4" s="16">
        <f t="shared" si="4"/>
        <v>2037</v>
      </c>
      <c r="Q4" s="16">
        <f t="shared" si="4"/>
        <v>2038</v>
      </c>
      <c r="R4" s="16">
        <f t="shared" si="4"/>
        <v>2039</v>
      </c>
      <c r="S4" s="16">
        <f t="shared" si="4"/>
        <v>2040</v>
      </c>
      <c r="T4" s="16">
        <f t="shared" si="4"/>
        <v>2041</v>
      </c>
      <c r="U4" s="16">
        <f t="shared" si="4"/>
        <v>2042</v>
      </c>
      <c r="V4" s="16">
        <f t="shared" si="4"/>
        <v>2043</v>
      </c>
      <c r="W4" s="16">
        <f t="shared" si="4"/>
        <v>2044</v>
      </c>
      <c r="X4" s="16">
        <f t="shared" si="4"/>
        <v>2045</v>
      </c>
      <c r="Y4" s="16">
        <f t="shared" si="4"/>
        <v>2046</v>
      </c>
      <c r="Z4" s="16">
        <f t="shared" si="4"/>
        <v>2047</v>
      </c>
      <c r="AA4" s="16">
        <f t="shared" si="4"/>
        <v>2048</v>
      </c>
      <c r="AB4" s="16">
        <f t="shared" si="4"/>
        <v>2049</v>
      </c>
      <c r="AC4" s="16">
        <f t="shared" si="4"/>
        <v>2050</v>
      </c>
      <c r="AD4" s="16">
        <f t="shared" si="4"/>
        <v>2051</v>
      </c>
      <c r="AE4" s="16">
        <f t="shared" si="4"/>
        <v>2052</v>
      </c>
      <c r="AF4" s="16">
        <f t="shared" ref="AF4:AN4" si="5">+AE4+1</f>
        <v>2053</v>
      </c>
      <c r="AG4" s="16">
        <f t="shared" si="5"/>
        <v>2054</v>
      </c>
      <c r="AH4" s="16">
        <f t="shared" si="5"/>
        <v>2055</v>
      </c>
      <c r="AI4" s="16">
        <f t="shared" si="5"/>
        <v>2056</v>
      </c>
      <c r="AJ4" s="16">
        <f t="shared" si="5"/>
        <v>2057</v>
      </c>
      <c r="AK4" s="16">
        <f t="shared" si="5"/>
        <v>2058</v>
      </c>
      <c r="AL4" s="16">
        <f t="shared" si="5"/>
        <v>2059</v>
      </c>
      <c r="AM4" s="16">
        <f t="shared" si="5"/>
        <v>2060</v>
      </c>
      <c r="AN4" s="16">
        <f t="shared" si="5"/>
        <v>2061</v>
      </c>
      <c r="AO4" s="16">
        <f t="shared" ref="AO4:AS4" si="6">+AN4+1</f>
        <v>2062</v>
      </c>
      <c r="AP4" s="16">
        <f t="shared" si="6"/>
        <v>2063</v>
      </c>
      <c r="AQ4" s="16">
        <f t="shared" si="6"/>
        <v>2064</v>
      </c>
      <c r="AR4" s="16">
        <f t="shared" si="6"/>
        <v>2065</v>
      </c>
      <c r="AS4" s="16">
        <f t="shared" si="6"/>
        <v>2066</v>
      </c>
      <c r="AT4" s="16">
        <f t="shared" ref="AT4" si="7">+AS4+1</f>
        <v>2067</v>
      </c>
    </row>
    <row r="6" spans="2:46" x14ac:dyDescent="0.2">
      <c r="B6" t="s">
        <v>115</v>
      </c>
      <c r="C6" s="26">
        <f>SUM(E6:AT6)</f>
        <v>5334.6</v>
      </c>
      <c r="D6" s="23" t="s">
        <v>120</v>
      </c>
      <c r="E6" s="28">
        <v>0</v>
      </c>
      <c r="F6" s="28">
        <v>0</v>
      </c>
      <c r="G6" s="28">
        <v>0</v>
      </c>
      <c r="H6" s="28">
        <v>93.6</v>
      </c>
      <c r="I6" s="28">
        <v>130</v>
      </c>
      <c r="J6" s="28">
        <v>136.5</v>
      </c>
      <c r="K6" s="28">
        <v>136.5</v>
      </c>
      <c r="L6" s="28">
        <v>136.5</v>
      </c>
      <c r="M6" s="28">
        <v>136.5</v>
      </c>
      <c r="N6" s="28">
        <v>136.5</v>
      </c>
      <c r="O6" s="28">
        <v>136.5</v>
      </c>
      <c r="P6" s="28">
        <v>136.5</v>
      </c>
      <c r="Q6" s="28">
        <v>136.5</v>
      </c>
      <c r="R6" s="28">
        <v>136.5</v>
      </c>
      <c r="S6" s="28">
        <v>136.5</v>
      </c>
      <c r="T6" s="28">
        <v>136.5</v>
      </c>
      <c r="U6" s="28">
        <v>136.5</v>
      </c>
      <c r="V6" s="28">
        <v>136.5</v>
      </c>
      <c r="W6" s="28">
        <v>136.5</v>
      </c>
      <c r="X6" s="28">
        <v>136.5</v>
      </c>
      <c r="Y6" s="28">
        <v>136.5</v>
      </c>
      <c r="Z6" s="28">
        <v>136.5</v>
      </c>
      <c r="AA6" s="28">
        <v>136.5</v>
      </c>
      <c r="AB6" s="28">
        <v>136.5</v>
      </c>
      <c r="AC6" s="28">
        <v>136.5</v>
      </c>
      <c r="AD6" s="28">
        <v>136.5</v>
      </c>
      <c r="AE6" s="28">
        <v>136.5</v>
      </c>
      <c r="AF6" s="28">
        <v>136.5</v>
      </c>
      <c r="AG6" s="28">
        <v>136.5</v>
      </c>
      <c r="AH6" s="28">
        <v>136.5</v>
      </c>
      <c r="AI6" s="28">
        <v>136.5</v>
      </c>
      <c r="AJ6" s="28">
        <v>136.5</v>
      </c>
      <c r="AK6" s="28">
        <v>136.5</v>
      </c>
      <c r="AL6" s="28">
        <v>136.5</v>
      </c>
      <c r="AM6" s="28">
        <v>136.5</v>
      </c>
      <c r="AN6" s="28">
        <v>136.5</v>
      </c>
      <c r="AO6" s="28">
        <v>136.5</v>
      </c>
      <c r="AP6" s="28">
        <v>136.5</v>
      </c>
      <c r="AQ6" s="28">
        <v>136.5</v>
      </c>
      <c r="AR6" s="28">
        <v>136.5</v>
      </c>
      <c r="AS6" s="28">
        <v>136.5</v>
      </c>
      <c r="AT6" s="28">
        <v>197</v>
      </c>
    </row>
    <row r="7" spans="2:46" x14ac:dyDescent="0.2">
      <c r="B7" s="22" t="s">
        <v>116</v>
      </c>
      <c r="C7" s="26">
        <f>AVERAGE(H7:AT7)</f>
        <v>1351.5128205128206</v>
      </c>
      <c r="D7" s="23" t="s">
        <v>121</v>
      </c>
      <c r="E7" s="28">
        <v>0</v>
      </c>
      <c r="F7" s="28">
        <v>0</v>
      </c>
      <c r="G7" s="28">
        <v>0</v>
      </c>
      <c r="H7" s="28">
        <v>1179</v>
      </c>
      <c r="I7" s="28">
        <v>1266</v>
      </c>
      <c r="J7" s="28">
        <v>1234</v>
      </c>
      <c r="K7" s="28">
        <v>1305</v>
      </c>
      <c r="L7" s="28">
        <v>1353</v>
      </c>
      <c r="M7" s="28">
        <v>1360</v>
      </c>
      <c r="N7" s="28">
        <v>1364</v>
      </c>
      <c r="O7" s="28">
        <v>1364</v>
      </c>
      <c r="P7" s="28">
        <v>1364</v>
      </c>
      <c r="Q7" s="28">
        <v>1364</v>
      </c>
      <c r="R7" s="28">
        <v>1364</v>
      </c>
      <c r="S7" s="28">
        <v>1364</v>
      </c>
      <c r="T7" s="28">
        <v>1364</v>
      </c>
      <c r="U7" s="28">
        <v>1364</v>
      </c>
      <c r="V7" s="28">
        <v>1364</v>
      </c>
      <c r="W7" s="28">
        <v>1364</v>
      </c>
      <c r="X7" s="28">
        <v>1364</v>
      </c>
      <c r="Y7" s="28">
        <v>1364</v>
      </c>
      <c r="Z7" s="28">
        <v>1364</v>
      </c>
      <c r="AA7" s="28">
        <v>1364</v>
      </c>
      <c r="AB7" s="28">
        <v>1364</v>
      </c>
      <c r="AC7" s="28">
        <v>1364</v>
      </c>
      <c r="AD7" s="28">
        <v>1364</v>
      </c>
      <c r="AE7" s="28">
        <v>1364</v>
      </c>
      <c r="AF7" s="28">
        <v>1364</v>
      </c>
      <c r="AG7" s="28">
        <v>1364</v>
      </c>
      <c r="AH7" s="28">
        <v>1364</v>
      </c>
      <c r="AI7" s="28">
        <v>1364</v>
      </c>
      <c r="AJ7" s="28">
        <v>1364</v>
      </c>
      <c r="AK7" s="28">
        <v>1364</v>
      </c>
      <c r="AL7" s="28">
        <v>1364</v>
      </c>
      <c r="AM7" s="28">
        <v>1364</v>
      </c>
      <c r="AN7" s="28">
        <v>1364</v>
      </c>
      <c r="AO7" s="28">
        <v>1364</v>
      </c>
      <c r="AP7" s="28">
        <v>1364</v>
      </c>
      <c r="AQ7" s="28">
        <v>1364</v>
      </c>
      <c r="AR7" s="28">
        <v>1364</v>
      </c>
      <c r="AS7" s="28">
        <v>1364</v>
      </c>
      <c r="AT7" s="28">
        <v>1364</v>
      </c>
    </row>
    <row r="8" spans="2:46" x14ac:dyDescent="0.2">
      <c r="C8" s="26"/>
      <c r="E8" s="28"/>
      <c r="F8" s="28"/>
      <c r="G8" s="28"/>
      <c r="H8" s="28"/>
      <c r="I8" s="28"/>
      <c r="J8" s="28"/>
      <c r="K8" s="28"/>
      <c r="L8" s="28"/>
      <c r="M8" s="28"/>
      <c r="N8" s="28"/>
      <c r="O8" s="28"/>
      <c r="P8" s="28"/>
      <c r="Q8" s="28"/>
      <c r="R8" s="28"/>
      <c r="S8" s="28"/>
      <c r="T8" s="28"/>
      <c r="U8" s="28"/>
      <c r="V8" s="28"/>
      <c r="W8" s="28"/>
      <c r="X8" s="28"/>
      <c r="Y8" s="28"/>
      <c r="Z8" s="28"/>
      <c r="AA8" s="28"/>
      <c r="AB8" s="28"/>
      <c r="AC8" s="28"/>
      <c r="AD8" s="28"/>
      <c r="AE8" s="28"/>
      <c r="AF8" s="28"/>
      <c r="AG8" s="28"/>
      <c r="AH8" s="28"/>
      <c r="AI8" s="28"/>
      <c r="AJ8" s="28"/>
      <c r="AK8" s="28"/>
      <c r="AL8" s="28"/>
      <c r="AM8" s="28"/>
      <c r="AN8" s="28"/>
      <c r="AO8" s="28"/>
      <c r="AP8" s="28"/>
      <c r="AQ8" s="28"/>
      <c r="AR8" s="28"/>
      <c r="AS8" s="28"/>
      <c r="AT8" s="28"/>
    </row>
    <row r="9" spans="2:46" x14ac:dyDescent="0.2">
      <c r="B9" s="16" t="s">
        <v>124</v>
      </c>
      <c r="C9" s="27">
        <f>SUM(E9:AT9)</f>
        <v>7218.4923999999965</v>
      </c>
      <c r="D9" s="16" t="s">
        <v>122</v>
      </c>
      <c r="E9" s="29">
        <v>0</v>
      </c>
      <c r="F9" s="29">
        <v>0</v>
      </c>
      <c r="G9" s="29">
        <v>0</v>
      </c>
      <c r="H9" s="29">
        <f>+(H6*H7) / 10^3</f>
        <v>110.3544</v>
      </c>
      <c r="I9" s="29">
        <f t="shared" ref="I9:AT9" si="8">+(I6*I7) / 10^3</f>
        <v>164.58</v>
      </c>
      <c r="J9" s="29">
        <f t="shared" si="8"/>
        <v>168.441</v>
      </c>
      <c r="K9" s="29">
        <f t="shared" si="8"/>
        <v>178.13249999999999</v>
      </c>
      <c r="L9" s="29">
        <f t="shared" si="8"/>
        <v>184.68450000000001</v>
      </c>
      <c r="M9" s="29">
        <f t="shared" si="8"/>
        <v>185.64</v>
      </c>
      <c r="N9" s="29">
        <f t="shared" si="8"/>
        <v>186.18600000000001</v>
      </c>
      <c r="O9" s="29">
        <f t="shared" si="8"/>
        <v>186.18600000000001</v>
      </c>
      <c r="P9" s="29">
        <f t="shared" si="8"/>
        <v>186.18600000000001</v>
      </c>
      <c r="Q9" s="29">
        <f t="shared" si="8"/>
        <v>186.18600000000001</v>
      </c>
      <c r="R9" s="29">
        <f t="shared" si="8"/>
        <v>186.18600000000001</v>
      </c>
      <c r="S9" s="29">
        <f t="shared" si="8"/>
        <v>186.18600000000001</v>
      </c>
      <c r="T9" s="29">
        <f t="shared" si="8"/>
        <v>186.18600000000001</v>
      </c>
      <c r="U9" s="29">
        <f t="shared" si="8"/>
        <v>186.18600000000001</v>
      </c>
      <c r="V9" s="29">
        <f t="shared" si="8"/>
        <v>186.18600000000001</v>
      </c>
      <c r="W9" s="29">
        <f t="shared" si="8"/>
        <v>186.18600000000001</v>
      </c>
      <c r="X9" s="29">
        <f t="shared" si="8"/>
        <v>186.18600000000001</v>
      </c>
      <c r="Y9" s="29">
        <f t="shared" si="8"/>
        <v>186.18600000000001</v>
      </c>
      <c r="Z9" s="29">
        <f t="shared" si="8"/>
        <v>186.18600000000001</v>
      </c>
      <c r="AA9" s="29">
        <f t="shared" si="8"/>
        <v>186.18600000000001</v>
      </c>
      <c r="AB9" s="29">
        <f t="shared" si="8"/>
        <v>186.18600000000001</v>
      </c>
      <c r="AC9" s="29">
        <f t="shared" si="8"/>
        <v>186.18600000000001</v>
      </c>
      <c r="AD9" s="29">
        <f t="shared" si="8"/>
        <v>186.18600000000001</v>
      </c>
      <c r="AE9" s="29">
        <f t="shared" si="8"/>
        <v>186.18600000000001</v>
      </c>
      <c r="AF9" s="29">
        <f t="shared" si="8"/>
        <v>186.18600000000001</v>
      </c>
      <c r="AG9" s="29">
        <f t="shared" si="8"/>
        <v>186.18600000000001</v>
      </c>
      <c r="AH9" s="29">
        <f t="shared" si="8"/>
        <v>186.18600000000001</v>
      </c>
      <c r="AI9" s="29">
        <f t="shared" si="8"/>
        <v>186.18600000000001</v>
      </c>
      <c r="AJ9" s="29">
        <f t="shared" si="8"/>
        <v>186.18600000000001</v>
      </c>
      <c r="AK9" s="29">
        <f t="shared" si="8"/>
        <v>186.18600000000001</v>
      </c>
      <c r="AL9" s="29">
        <f t="shared" si="8"/>
        <v>186.18600000000001</v>
      </c>
      <c r="AM9" s="29">
        <f t="shared" si="8"/>
        <v>186.18600000000001</v>
      </c>
      <c r="AN9" s="29">
        <f t="shared" si="8"/>
        <v>186.18600000000001</v>
      </c>
      <c r="AO9" s="29">
        <f t="shared" si="8"/>
        <v>186.18600000000001</v>
      </c>
      <c r="AP9" s="29">
        <f t="shared" si="8"/>
        <v>186.18600000000001</v>
      </c>
      <c r="AQ9" s="29">
        <f t="shared" si="8"/>
        <v>186.18600000000001</v>
      </c>
      <c r="AR9" s="29">
        <f t="shared" si="8"/>
        <v>186.18600000000001</v>
      </c>
      <c r="AS9" s="29">
        <f t="shared" si="8"/>
        <v>186.18600000000001</v>
      </c>
      <c r="AT9" s="29">
        <f t="shared" si="8"/>
        <v>268.70800000000003</v>
      </c>
    </row>
    <row r="10" spans="2:46" x14ac:dyDescent="0.2">
      <c r="C10" s="26"/>
      <c r="E10" s="28"/>
      <c r="F10" s="28"/>
      <c r="G10" s="28"/>
      <c r="H10" s="28"/>
      <c r="I10" s="28"/>
      <c r="J10" s="28"/>
      <c r="K10" s="28"/>
      <c r="L10" s="28"/>
      <c r="M10" s="28"/>
      <c r="N10" s="28"/>
      <c r="O10" s="28"/>
      <c r="P10" s="28"/>
      <c r="Q10" s="28"/>
      <c r="R10" s="28"/>
      <c r="S10" s="28"/>
      <c r="T10" s="28"/>
      <c r="U10" s="28"/>
      <c r="V10" s="28"/>
      <c r="W10" s="28"/>
      <c r="X10" s="28"/>
      <c r="Y10" s="28"/>
      <c r="Z10" s="28"/>
      <c r="AA10" s="28"/>
      <c r="AB10" s="28"/>
      <c r="AC10" s="28"/>
      <c r="AD10" s="28"/>
      <c r="AE10" s="28"/>
      <c r="AF10" s="28"/>
      <c r="AG10" s="28"/>
      <c r="AH10" s="28"/>
      <c r="AI10" s="28"/>
      <c r="AJ10" s="28"/>
      <c r="AK10" s="28"/>
      <c r="AL10" s="28"/>
      <c r="AM10" s="28"/>
      <c r="AN10" s="28"/>
      <c r="AO10" s="28"/>
      <c r="AP10" s="28"/>
      <c r="AQ10" s="28"/>
      <c r="AR10" s="28"/>
      <c r="AS10" s="28"/>
      <c r="AT10" s="28"/>
    </row>
    <row r="11" spans="2:46" x14ac:dyDescent="0.2">
      <c r="E11" s="28"/>
      <c r="F11" s="28"/>
      <c r="G11" s="28"/>
      <c r="H11" s="28"/>
      <c r="I11" s="28"/>
      <c r="J11" s="28"/>
      <c r="K11" s="28"/>
      <c r="L11" s="28"/>
      <c r="M11" s="28"/>
      <c r="N11" s="28"/>
      <c r="O11" s="28"/>
      <c r="P11" s="28"/>
      <c r="Q11" s="28"/>
      <c r="R11" s="28"/>
      <c r="S11" s="28"/>
      <c r="T11" s="28"/>
      <c r="U11" s="28"/>
      <c r="V11" s="28"/>
      <c r="W11" s="28"/>
      <c r="X11" s="28"/>
      <c r="Y11" s="28"/>
      <c r="Z11" s="28"/>
      <c r="AA11" s="28"/>
      <c r="AB11" s="28"/>
      <c r="AC11" s="28"/>
      <c r="AD11" s="28"/>
      <c r="AE11" s="28"/>
      <c r="AF11" s="28"/>
      <c r="AG11" s="28"/>
      <c r="AH11" s="28"/>
      <c r="AI11" s="28"/>
      <c r="AJ11" s="28"/>
      <c r="AK11" s="28"/>
      <c r="AL11" s="28"/>
      <c r="AM11" s="28"/>
      <c r="AN11" s="28"/>
      <c r="AO11" s="28"/>
      <c r="AP11" s="28"/>
      <c r="AQ11" s="28"/>
      <c r="AR11" s="28"/>
      <c r="AS11" s="28"/>
      <c r="AT11" s="28"/>
    </row>
    <row r="12" spans="2:46" x14ac:dyDescent="0.2">
      <c r="B12" t="s">
        <v>125</v>
      </c>
      <c r="C12" s="26">
        <f>SUM(E12:AT12)</f>
        <v>-2121.6999999999989</v>
      </c>
      <c r="D12" t="s">
        <v>122</v>
      </c>
      <c r="E12" s="28">
        <v>0</v>
      </c>
      <c r="F12" s="28">
        <v>0</v>
      </c>
      <c r="G12" s="28">
        <v>0</v>
      </c>
      <c r="H12" s="28">
        <v>-37.200000000000003</v>
      </c>
      <c r="I12" s="28">
        <v>-51.7</v>
      </c>
      <c r="J12" s="28">
        <v>-54.3</v>
      </c>
      <c r="K12" s="28">
        <v>-54.3</v>
      </c>
      <c r="L12" s="28">
        <v>-54.3</v>
      </c>
      <c r="M12" s="28">
        <v>-54.3</v>
      </c>
      <c r="N12" s="28">
        <v>-54.3</v>
      </c>
      <c r="O12" s="28">
        <v>-54.3</v>
      </c>
      <c r="P12" s="28">
        <v>-54.3</v>
      </c>
      <c r="Q12" s="28">
        <v>-54.3</v>
      </c>
      <c r="R12" s="28">
        <v>-54.3</v>
      </c>
      <c r="S12" s="28">
        <v>-54.3</v>
      </c>
      <c r="T12" s="28">
        <v>-54.3</v>
      </c>
      <c r="U12" s="28">
        <v>-54.3</v>
      </c>
      <c r="V12" s="28">
        <v>-54.3</v>
      </c>
      <c r="W12" s="28">
        <v>-54.3</v>
      </c>
      <c r="X12" s="28">
        <v>-54.3</v>
      </c>
      <c r="Y12" s="28">
        <v>-54.3</v>
      </c>
      <c r="Z12" s="28">
        <v>-54.3</v>
      </c>
      <c r="AA12" s="28">
        <v>-54.3</v>
      </c>
      <c r="AB12" s="28">
        <v>-54.3</v>
      </c>
      <c r="AC12" s="28">
        <v>-54.3</v>
      </c>
      <c r="AD12" s="28">
        <v>-54.3</v>
      </c>
      <c r="AE12" s="28">
        <v>-54.3</v>
      </c>
      <c r="AF12" s="28">
        <v>-54.3</v>
      </c>
      <c r="AG12" s="28">
        <v>-54.3</v>
      </c>
      <c r="AH12" s="28">
        <v>-54.3</v>
      </c>
      <c r="AI12" s="28">
        <v>-54.3</v>
      </c>
      <c r="AJ12" s="28">
        <v>-54.3</v>
      </c>
      <c r="AK12" s="28">
        <v>-54.3</v>
      </c>
      <c r="AL12" s="28">
        <v>-54.3</v>
      </c>
      <c r="AM12" s="28">
        <v>-54.3</v>
      </c>
      <c r="AN12" s="28">
        <v>-54.3</v>
      </c>
      <c r="AO12" s="28">
        <v>-54.3</v>
      </c>
      <c r="AP12" s="28">
        <v>-54.3</v>
      </c>
      <c r="AQ12" s="28">
        <v>-54.3</v>
      </c>
      <c r="AR12" s="28">
        <v>-54.3</v>
      </c>
      <c r="AS12" s="28">
        <v>-54.3</v>
      </c>
      <c r="AT12" s="28">
        <v>-78</v>
      </c>
    </row>
    <row r="13" spans="2:46" x14ac:dyDescent="0.2">
      <c r="B13" t="s">
        <v>126</v>
      </c>
      <c r="C13" s="26">
        <f>SUM(E13:AT13)</f>
        <v>-1209.1249999999991</v>
      </c>
      <c r="D13" t="s">
        <v>122</v>
      </c>
      <c r="E13" s="28">
        <v>-3.5</v>
      </c>
      <c r="F13" s="28">
        <v>-3.5</v>
      </c>
      <c r="G13" s="28">
        <v>-5.3</v>
      </c>
      <c r="H13" s="28">
        <v>-30.3</v>
      </c>
      <c r="I13" s="28">
        <v>-30.3</v>
      </c>
      <c r="J13" s="28">
        <v>-30.3</v>
      </c>
      <c r="K13" s="28">
        <v>-30.3</v>
      </c>
      <c r="L13" s="28">
        <v>-30.3</v>
      </c>
      <c r="M13" s="28">
        <v>-30.3</v>
      </c>
      <c r="N13" s="28">
        <v>-30.3</v>
      </c>
      <c r="O13" s="28">
        <v>-30.3</v>
      </c>
      <c r="P13" s="28">
        <v>-30.3</v>
      </c>
      <c r="Q13" s="28">
        <v>-30.3</v>
      </c>
      <c r="R13" s="28">
        <v>-30.3</v>
      </c>
      <c r="S13" s="28">
        <v>-30.3</v>
      </c>
      <c r="T13" s="28">
        <v>-30.3</v>
      </c>
      <c r="U13" s="28">
        <v>-30.3</v>
      </c>
      <c r="V13" s="28">
        <v>-30.3</v>
      </c>
      <c r="W13" s="28">
        <v>-30.3</v>
      </c>
      <c r="X13" s="28">
        <v>-30.3</v>
      </c>
      <c r="Y13" s="28">
        <v>-30.3</v>
      </c>
      <c r="Z13" s="28">
        <v>-30.3</v>
      </c>
      <c r="AA13" s="28">
        <v>-30.3</v>
      </c>
      <c r="AB13" s="28">
        <v>-30.3</v>
      </c>
      <c r="AC13" s="28">
        <v>-30.3</v>
      </c>
      <c r="AD13" s="28">
        <v>-30.3</v>
      </c>
      <c r="AE13" s="28">
        <v>-30.3</v>
      </c>
      <c r="AF13" s="28">
        <v>-30.3</v>
      </c>
      <c r="AG13" s="28">
        <v>-30.3</v>
      </c>
      <c r="AH13" s="28">
        <v>-30.3</v>
      </c>
      <c r="AI13" s="28">
        <v>-30.3</v>
      </c>
      <c r="AJ13" s="28">
        <v>-30.3</v>
      </c>
      <c r="AK13" s="28">
        <v>-30.3</v>
      </c>
      <c r="AL13" s="28">
        <v>-30.3</v>
      </c>
      <c r="AM13" s="28">
        <v>-30.3</v>
      </c>
      <c r="AN13" s="28">
        <v>-30.3</v>
      </c>
      <c r="AO13" s="28">
        <v>-30.3</v>
      </c>
      <c r="AP13" s="28">
        <v>-30.3</v>
      </c>
      <c r="AQ13" s="28">
        <v>-30.3</v>
      </c>
      <c r="AR13" s="28">
        <v>-30.3</v>
      </c>
      <c r="AS13" s="28">
        <v>-30.3</v>
      </c>
      <c r="AT13" s="28">
        <f>+-30.3+-15.125</f>
        <v>-45.424999999999997</v>
      </c>
    </row>
    <row r="14" spans="2:46" x14ac:dyDescent="0.2">
      <c r="B14" t="s">
        <v>127</v>
      </c>
      <c r="C14" s="26">
        <f>SUM(E14:AT14)</f>
        <v>333.39999999999992</v>
      </c>
      <c r="D14" t="s">
        <v>122</v>
      </c>
      <c r="E14" s="28">
        <v>0</v>
      </c>
      <c r="F14" s="28">
        <v>0</v>
      </c>
      <c r="G14" s="28">
        <v>0</v>
      </c>
      <c r="H14" s="28">
        <v>1.2</v>
      </c>
      <c r="I14" s="28">
        <v>1.6</v>
      </c>
      <c r="J14" s="28">
        <v>6.6</v>
      </c>
      <c r="K14" s="28">
        <v>8.5</v>
      </c>
      <c r="L14" s="28">
        <v>8.9</v>
      </c>
      <c r="M14" s="28">
        <v>8.9</v>
      </c>
      <c r="N14" s="28">
        <v>8.9</v>
      </c>
      <c r="O14" s="28">
        <v>8.9</v>
      </c>
      <c r="P14" s="28">
        <v>8.9</v>
      </c>
      <c r="Q14" s="28">
        <v>8.9</v>
      </c>
      <c r="R14" s="28">
        <v>8.9</v>
      </c>
      <c r="S14" s="28">
        <v>8.9</v>
      </c>
      <c r="T14" s="28">
        <v>8.9</v>
      </c>
      <c r="U14" s="28">
        <v>8.9</v>
      </c>
      <c r="V14" s="28">
        <v>8.9</v>
      </c>
      <c r="W14" s="28">
        <v>8.9</v>
      </c>
      <c r="X14" s="28">
        <v>8.9</v>
      </c>
      <c r="Y14" s="28">
        <v>8.9</v>
      </c>
      <c r="Z14" s="28">
        <v>8.9</v>
      </c>
      <c r="AA14" s="28">
        <v>8.9</v>
      </c>
      <c r="AB14" s="28">
        <v>8.9</v>
      </c>
      <c r="AC14" s="28">
        <v>8.9</v>
      </c>
      <c r="AD14" s="28">
        <v>8.9</v>
      </c>
      <c r="AE14" s="28">
        <v>8.9</v>
      </c>
      <c r="AF14" s="28">
        <v>8.9</v>
      </c>
      <c r="AG14" s="28">
        <v>8.9</v>
      </c>
      <c r="AH14" s="28">
        <v>8.9</v>
      </c>
      <c r="AI14" s="28">
        <v>8.9</v>
      </c>
      <c r="AJ14" s="28">
        <v>8.9</v>
      </c>
      <c r="AK14" s="28">
        <v>8.9</v>
      </c>
      <c r="AL14" s="28">
        <v>8.9</v>
      </c>
      <c r="AM14" s="28">
        <v>8.9</v>
      </c>
      <c r="AN14" s="28">
        <v>8.9</v>
      </c>
      <c r="AO14" s="28">
        <v>8.9</v>
      </c>
      <c r="AP14" s="28">
        <v>8.9</v>
      </c>
      <c r="AQ14" s="28">
        <v>8.9</v>
      </c>
      <c r="AR14" s="28">
        <v>8.9</v>
      </c>
      <c r="AS14" s="28">
        <v>8.9</v>
      </c>
      <c r="AT14" s="28">
        <f>8.9+4</f>
        <v>12.9</v>
      </c>
    </row>
    <row r="15" spans="2:46" x14ac:dyDescent="0.2">
      <c r="B15" s="16" t="s">
        <v>128</v>
      </c>
      <c r="C15" s="27">
        <f>SUM(E15:AT15)</f>
        <v>-2997.4249999999988</v>
      </c>
      <c r="D15" s="16"/>
      <c r="E15" s="29">
        <f>SUM(E12:E14)</f>
        <v>-3.5</v>
      </c>
      <c r="F15" s="29">
        <f>SUM(F12:F14)</f>
        <v>-3.5</v>
      </c>
      <c r="G15" s="29">
        <f>SUM(G12:G14)</f>
        <v>-5.3</v>
      </c>
      <c r="H15" s="29">
        <f t="shared" ref="H15:AT15" si="9">SUM(H12:H14)</f>
        <v>-66.3</v>
      </c>
      <c r="I15" s="29">
        <f t="shared" si="9"/>
        <v>-80.400000000000006</v>
      </c>
      <c r="J15" s="29">
        <f t="shared" si="9"/>
        <v>-78</v>
      </c>
      <c r="K15" s="29">
        <f t="shared" si="9"/>
        <v>-76.099999999999994</v>
      </c>
      <c r="L15" s="29">
        <f t="shared" si="9"/>
        <v>-75.699999999999989</v>
      </c>
      <c r="M15" s="29">
        <f t="shared" si="9"/>
        <v>-75.699999999999989</v>
      </c>
      <c r="N15" s="29">
        <f t="shared" si="9"/>
        <v>-75.699999999999989</v>
      </c>
      <c r="O15" s="29">
        <f t="shared" si="9"/>
        <v>-75.699999999999989</v>
      </c>
      <c r="P15" s="29">
        <f t="shared" si="9"/>
        <v>-75.699999999999989</v>
      </c>
      <c r="Q15" s="29">
        <f t="shared" si="9"/>
        <v>-75.699999999999989</v>
      </c>
      <c r="R15" s="29">
        <f t="shared" si="9"/>
        <v>-75.699999999999989</v>
      </c>
      <c r="S15" s="29">
        <f t="shared" si="9"/>
        <v>-75.699999999999989</v>
      </c>
      <c r="T15" s="29">
        <f t="shared" si="9"/>
        <v>-75.699999999999989</v>
      </c>
      <c r="U15" s="29">
        <f t="shared" si="9"/>
        <v>-75.699999999999989</v>
      </c>
      <c r="V15" s="29">
        <f t="shared" si="9"/>
        <v>-75.699999999999989</v>
      </c>
      <c r="W15" s="29">
        <f t="shared" si="9"/>
        <v>-75.699999999999989</v>
      </c>
      <c r="X15" s="29">
        <f t="shared" si="9"/>
        <v>-75.699999999999989</v>
      </c>
      <c r="Y15" s="29">
        <f t="shared" si="9"/>
        <v>-75.699999999999989</v>
      </c>
      <c r="Z15" s="29">
        <f t="shared" si="9"/>
        <v>-75.699999999999989</v>
      </c>
      <c r="AA15" s="29">
        <f t="shared" si="9"/>
        <v>-75.699999999999989</v>
      </c>
      <c r="AB15" s="29">
        <f t="shared" si="9"/>
        <v>-75.699999999999989</v>
      </c>
      <c r="AC15" s="29">
        <f t="shared" si="9"/>
        <v>-75.699999999999989</v>
      </c>
      <c r="AD15" s="29">
        <f t="shared" si="9"/>
        <v>-75.699999999999989</v>
      </c>
      <c r="AE15" s="29">
        <f t="shared" si="9"/>
        <v>-75.699999999999989</v>
      </c>
      <c r="AF15" s="29">
        <f t="shared" si="9"/>
        <v>-75.699999999999989</v>
      </c>
      <c r="AG15" s="29">
        <f t="shared" si="9"/>
        <v>-75.699999999999989</v>
      </c>
      <c r="AH15" s="29">
        <f t="shared" si="9"/>
        <v>-75.699999999999989</v>
      </c>
      <c r="AI15" s="29">
        <f t="shared" si="9"/>
        <v>-75.699999999999989</v>
      </c>
      <c r="AJ15" s="29">
        <f t="shared" si="9"/>
        <v>-75.699999999999989</v>
      </c>
      <c r="AK15" s="29">
        <f t="shared" si="9"/>
        <v>-75.699999999999989</v>
      </c>
      <c r="AL15" s="29">
        <f t="shared" si="9"/>
        <v>-75.699999999999989</v>
      </c>
      <c r="AM15" s="29">
        <f t="shared" si="9"/>
        <v>-75.699999999999989</v>
      </c>
      <c r="AN15" s="29">
        <f t="shared" si="9"/>
        <v>-75.699999999999989</v>
      </c>
      <c r="AO15" s="29">
        <f t="shared" si="9"/>
        <v>-75.699999999999989</v>
      </c>
      <c r="AP15" s="29">
        <f t="shared" si="9"/>
        <v>-75.699999999999989</v>
      </c>
      <c r="AQ15" s="29">
        <f t="shared" si="9"/>
        <v>-75.699999999999989</v>
      </c>
      <c r="AR15" s="29">
        <f t="shared" si="9"/>
        <v>-75.699999999999989</v>
      </c>
      <c r="AS15" s="29">
        <f t="shared" si="9"/>
        <v>-75.699999999999989</v>
      </c>
      <c r="AT15" s="29">
        <f t="shared" si="9"/>
        <v>-110.52499999999999</v>
      </c>
    </row>
    <row r="16" spans="2:46" x14ac:dyDescent="0.2">
      <c r="E16" s="28"/>
      <c r="F16" s="28"/>
      <c r="G16" s="28"/>
      <c r="H16" s="28"/>
      <c r="I16" s="28"/>
      <c r="J16" s="28"/>
      <c r="K16" s="28"/>
      <c r="L16" s="28"/>
      <c r="M16" s="28"/>
      <c r="N16" s="28"/>
      <c r="O16" s="28"/>
      <c r="P16" s="28"/>
      <c r="Q16" s="28"/>
      <c r="R16" s="28"/>
      <c r="S16" s="28"/>
      <c r="T16" s="28"/>
      <c r="U16" s="28"/>
      <c r="V16" s="28"/>
      <c r="W16" s="28"/>
      <c r="X16" s="28"/>
      <c r="Y16" s="28"/>
      <c r="Z16" s="28"/>
      <c r="AA16" s="28"/>
      <c r="AB16" s="28"/>
      <c r="AC16" s="28"/>
      <c r="AD16" s="28"/>
      <c r="AE16" s="28"/>
      <c r="AF16" s="28"/>
      <c r="AG16" s="28"/>
      <c r="AH16" s="28"/>
      <c r="AI16" s="28"/>
      <c r="AJ16" s="28"/>
      <c r="AK16" s="28"/>
      <c r="AL16" s="28"/>
      <c r="AM16" s="28"/>
      <c r="AN16" s="28"/>
      <c r="AO16" s="28"/>
      <c r="AP16" s="28"/>
      <c r="AQ16" s="28"/>
      <c r="AR16" s="28"/>
      <c r="AS16" s="28"/>
      <c r="AT16" s="28"/>
    </row>
    <row r="17" spans="2:46" x14ac:dyDescent="0.2">
      <c r="B17" t="s">
        <v>129</v>
      </c>
      <c r="C17" s="26">
        <f>SUM(E17:AT17)</f>
        <v>-3.6999999999999993</v>
      </c>
      <c r="D17" t="s">
        <v>122</v>
      </c>
      <c r="E17" s="28">
        <v>1.2</v>
      </c>
      <c r="F17" s="28">
        <v>13.8</v>
      </c>
      <c r="G17" s="28">
        <v>5.7</v>
      </c>
      <c r="H17" s="28">
        <v>-25</v>
      </c>
      <c r="I17" s="28">
        <v>-2.6</v>
      </c>
      <c r="J17" s="28">
        <v>-0.5</v>
      </c>
      <c r="K17" s="28">
        <v>-1</v>
      </c>
      <c r="L17" s="28">
        <v>-0.6</v>
      </c>
      <c r="M17" s="28">
        <v>0.4</v>
      </c>
      <c r="N17" s="28">
        <v>-0.5</v>
      </c>
      <c r="O17" s="28">
        <v>0</v>
      </c>
      <c r="P17" s="28">
        <v>0</v>
      </c>
      <c r="Q17" s="28">
        <v>0</v>
      </c>
      <c r="R17" s="28">
        <v>0.5</v>
      </c>
      <c r="S17" s="28">
        <v>-0.5</v>
      </c>
      <c r="T17" s="28">
        <v>0.2</v>
      </c>
      <c r="U17" s="28">
        <v>0.2</v>
      </c>
      <c r="V17" s="28">
        <v>0.2</v>
      </c>
      <c r="W17" s="28">
        <v>0.2</v>
      </c>
      <c r="X17" s="28">
        <v>0.2</v>
      </c>
      <c r="Y17" s="28">
        <v>0.2</v>
      </c>
      <c r="Z17" s="28">
        <v>0.2</v>
      </c>
      <c r="AA17" s="28">
        <v>0.2</v>
      </c>
      <c r="AB17" s="28">
        <v>0.2</v>
      </c>
      <c r="AC17" s="28">
        <v>0.2</v>
      </c>
      <c r="AD17" s="28">
        <v>0.2</v>
      </c>
      <c r="AE17" s="28">
        <v>0.2</v>
      </c>
      <c r="AF17" s="28">
        <v>0.2</v>
      </c>
      <c r="AG17" s="28">
        <v>0.2</v>
      </c>
      <c r="AH17" s="28">
        <v>0.2</v>
      </c>
      <c r="AI17" s="28">
        <v>0.2</v>
      </c>
      <c r="AJ17" s="28">
        <v>0.2</v>
      </c>
      <c r="AK17" s="28">
        <v>0.2</v>
      </c>
      <c r="AL17" s="28">
        <v>0.2</v>
      </c>
      <c r="AM17" s="28">
        <v>0.2</v>
      </c>
      <c r="AN17" s="28">
        <v>0.2</v>
      </c>
      <c r="AO17" s="28">
        <v>0.2</v>
      </c>
      <c r="AP17" s="28">
        <v>0.2</v>
      </c>
      <c r="AQ17" s="28">
        <v>0.2</v>
      </c>
      <c r="AR17" s="28">
        <v>0.2</v>
      </c>
      <c r="AS17" s="28">
        <v>0.2</v>
      </c>
      <c r="AT17" s="28">
        <v>0.2</v>
      </c>
    </row>
    <row r="18" spans="2:46" x14ac:dyDescent="0.2">
      <c r="E18" s="28"/>
      <c r="F18" s="28"/>
      <c r="G18" s="28"/>
      <c r="H18" s="28"/>
      <c r="I18" s="28"/>
      <c r="J18" s="28"/>
      <c r="K18" s="28"/>
      <c r="L18" s="28"/>
      <c r="M18" s="28"/>
      <c r="N18" s="28"/>
      <c r="O18" s="28"/>
      <c r="P18" s="28"/>
      <c r="Q18" s="28"/>
      <c r="R18" s="28"/>
      <c r="S18" s="28"/>
      <c r="T18" s="28"/>
      <c r="U18" s="28"/>
      <c r="V18" s="28"/>
      <c r="W18" s="28"/>
      <c r="X18" s="28"/>
      <c r="Y18" s="28"/>
      <c r="Z18" s="28"/>
      <c r="AA18" s="28"/>
      <c r="AB18" s="28"/>
      <c r="AC18" s="28"/>
      <c r="AD18" s="28"/>
      <c r="AE18" s="28"/>
      <c r="AF18" s="28"/>
      <c r="AG18" s="28"/>
      <c r="AH18" s="28"/>
      <c r="AI18" s="28"/>
      <c r="AJ18" s="28"/>
      <c r="AK18" s="28"/>
      <c r="AL18" s="28"/>
      <c r="AM18" s="28"/>
      <c r="AN18" s="28"/>
      <c r="AO18" s="28"/>
      <c r="AP18" s="28"/>
      <c r="AQ18" s="28"/>
      <c r="AR18" s="28"/>
      <c r="AS18" s="28"/>
      <c r="AT18" s="28"/>
    </row>
    <row r="19" spans="2:46" x14ac:dyDescent="0.2">
      <c r="B19" t="s">
        <v>130</v>
      </c>
      <c r="C19" s="26"/>
      <c r="E19" s="28"/>
      <c r="F19" s="28"/>
      <c r="G19" s="28"/>
      <c r="H19" s="28"/>
      <c r="I19" s="28"/>
      <c r="J19" s="28"/>
      <c r="K19" s="28"/>
      <c r="L19" s="28"/>
      <c r="M19" s="28"/>
      <c r="N19" s="28"/>
      <c r="O19" s="28"/>
      <c r="P19" s="28"/>
      <c r="Q19" s="28"/>
      <c r="R19" s="28"/>
      <c r="S19" s="28"/>
      <c r="T19" s="28"/>
      <c r="U19" s="28"/>
      <c r="V19" s="28"/>
      <c r="W19" s="28"/>
      <c r="X19" s="28"/>
      <c r="Y19" s="28"/>
      <c r="Z19" s="28"/>
      <c r="AA19" s="28"/>
      <c r="AB19" s="28"/>
      <c r="AC19" s="28"/>
      <c r="AD19" s="28"/>
      <c r="AE19" s="28"/>
      <c r="AF19" s="28"/>
      <c r="AG19" s="28"/>
      <c r="AH19" s="28"/>
      <c r="AI19" s="28"/>
      <c r="AJ19" s="28"/>
      <c r="AK19" s="28"/>
      <c r="AL19" s="28"/>
      <c r="AM19" s="28"/>
      <c r="AN19" s="28"/>
      <c r="AO19" s="28"/>
      <c r="AP19" s="28"/>
      <c r="AQ19" s="28"/>
      <c r="AR19" s="28"/>
      <c r="AS19" s="28"/>
      <c r="AT19" s="28"/>
    </row>
    <row r="20" spans="2:46" x14ac:dyDescent="0.2">
      <c r="B20" t="s">
        <v>131</v>
      </c>
      <c r="C20" s="26">
        <f>SUM(E20:AT20)</f>
        <v>-434.9</v>
      </c>
      <c r="D20" t="s">
        <v>122</v>
      </c>
      <c r="E20" s="28">
        <v>-10.9</v>
      </c>
      <c r="F20" s="28">
        <v>-178.3</v>
      </c>
      <c r="G20" s="28">
        <v>-245.7</v>
      </c>
      <c r="H20" s="28"/>
      <c r="I20" s="28"/>
      <c r="J20" s="28"/>
      <c r="K20" s="28"/>
      <c r="L20" s="28"/>
      <c r="M20" s="28"/>
      <c r="N20" s="28"/>
      <c r="O20" s="28"/>
      <c r="P20" s="28"/>
      <c r="Q20" s="28"/>
      <c r="R20" s="28"/>
      <c r="S20" s="28"/>
      <c r="T20" s="28"/>
      <c r="U20" s="28"/>
      <c r="V20" s="28"/>
      <c r="W20" s="28"/>
      <c r="X20" s="28"/>
      <c r="Y20" s="28"/>
      <c r="Z20" s="28"/>
      <c r="AA20" s="28"/>
      <c r="AB20" s="28"/>
      <c r="AC20" s="28"/>
      <c r="AD20" s="28"/>
      <c r="AE20" s="28"/>
      <c r="AF20" s="28"/>
      <c r="AG20" s="28"/>
      <c r="AH20" s="28"/>
      <c r="AI20" s="28"/>
      <c r="AJ20" s="28"/>
      <c r="AK20" s="28"/>
      <c r="AL20" s="28"/>
      <c r="AM20" s="28"/>
      <c r="AN20" s="28"/>
      <c r="AO20" s="28"/>
      <c r="AP20" s="28"/>
      <c r="AQ20" s="28"/>
      <c r="AR20" s="28"/>
      <c r="AS20" s="28"/>
      <c r="AT20" s="28"/>
    </row>
    <row r="21" spans="2:46" x14ac:dyDescent="0.2">
      <c r="B21" t="s">
        <v>132</v>
      </c>
      <c r="C21" s="26">
        <f>SUM(E21:AT21)</f>
        <v>-39.900000000000027</v>
      </c>
      <c r="D21" t="s">
        <v>122</v>
      </c>
      <c r="E21" s="28">
        <v>0</v>
      </c>
      <c r="F21" s="28">
        <v>0</v>
      </c>
      <c r="G21" s="28">
        <v>0</v>
      </c>
      <c r="H21" s="28"/>
      <c r="I21" s="28"/>
      <c r="J21" s="28"/>
      <c r="K21" s="28"/>
      <c r="L21" s="28"/>
      <c r="M21" s="28">
        <v>-5.7</v>
      </c>
      <c r="N21" s="28"/>
      <c r="O21" s="28"/>
      <c r="P21" s="28"/>
      <c r="Q21" s="28"/>
      <c r="R21" s="28">
        <v>-5.7</v>
      </c>
      <c r="S21" s="28">
        <v>0</v>
      </c>
      <c r="T21" s="28">
        <v>-1.1000000000000001</v>
      </c>
      <c r="U21" s="28">
        <v>-1</v>
      </c>
      <c r="V21" s="28">
        <v>-1.1000000000000001</v>
      </c>
      <c r="W21" s="28">
        <v>-1.1000000000000001</v>
      </c>
      <c r="X21" s="28">
        <v>-1.1000000000000001</v>
      </c>
      <c r="Y21" s="28">
        <v>-1.1000000000000001</v>
      </c>
      <c r="Z21" s="28">
        <v>-1.1000000000000001</v>
      </c>
      <c r="AA21" s="28">
        <v>-1.1000000000000001</v>
      </c>
      <c r="AB21" s="28">
        <v>-1.1000000000000001</v>
      </c>
      <c r="AC21" s="28">
        <v>-1.1000000000000001</v>
      </c>
      <c r="AD21" s="28">
        <v>-1.1000000000000001</v>
      </c>
      <c r="AE21" s="28">
        <v>-1.1000000000000001</v>
      </c>
      <c r="AF21" s="28">
        <v>-1.1000000000000001</v>
      </c>
      <c r="AG21" s="28">
        <v>-1.1000000000000001</v>
      </c>
      <c r="AH21" s="28">
        <v>-1.1000000000000001</v>
      </c>
      <c r="AI21" s="28">
        <v>-1.1000000000000001</v>
      </c>
      <c r="AJ21" s="28">
        <v>-1.1000000000000001</v>
      </c>
      <c r="AK21" s="28">
        <v>-1.1000000000000001</v>
      </c>
      <c r="AL21" s="28">
        <v>-1.1000000000000001</v>
      </c>
      <c r="AM21" s="28">
        <v>-1.1000000000000001</v>
      </c>
      <c r="AN21" s="28">
        <v>-1.1000000000000001</v>
      </c>
      <c r="AO21" s="28">
        <v>-1.1000000000000001</v>
      </c>
      <c r="AP21" s="28">
        <v>-1.1000000000000001</v>
      </c>
      <c r="AQ21" s="28">
        <v>-1.1000000000000001</v>
      </c>
      <c r="AR21" s="28">
        <v>-1.1000000000000001</v>
      </c>
      <c r="AS21" s="28">
        <v>-1.1000000000000001</v>
      </c>
      <c r="AT21" s="28"/>
    </row>
    <row r="22" spans="2:46" x14ac:dyDescent="0.2">
      <c r="B22" s="16" t="s">
        <v>133</v>
      </c>
      <c r="C22" s="27">
        <f>SUM(C19:C21)</f>
        <v>-474.8</v>
      </c>
      <c r="D22" s="16" t="s">
        <v>122</v>
      </c>
      <c r="E22" s="29">
        <f>SUM(E20:E21)</f>
        <v>-10.9</v>
      </c>
      <c r="F22" s="29">
        <f>SUM(F20:F21)</f>
        <v>-178.3</v>
      </c>
      <c r="G22" s="29">
        <f>SUM(G20:G21)</f>
        <v>-245.7</v>
      </c>
      <c r="H22" s="29">
        <f>SUM(H20:H21)</f>
        <v>0</v>
      </c>
      <c r="I22" s="29">
        <f t="shared" ref="I22:T22" si="10">SUM(I20:I21)</f>
        <v>0</v>
      </c>
      <c r="J22" s="29">
        <f t="shared" si="10"/>
        <v>0</v>
      </c>
      <c r="K22" s="29">
        <f t="shared" si="10"/>
        <v>0</v>
      </c>
      <c r="L22" s="29">
        <f t="shared" si="10"/>
        <v>0</v>
      </c>
      <c r="M22" s="29">
        <f t="shared" si="10"/>
        <v>-5.7</v>
      </c>
      <c r="N22" s="29">
        <f t="shared" si="10"/>
        <v>0</v>
      </c>
      <c r="O22" s="29">
        <f t="shared" si="10"/>
        <v>0</v>
      </c>
      <c r="P22" s="29">
        <f t="shared" si="10"/>
        <v>0</v>
      </c>
      <c r="Q22" s="29">
        <f t="shared" si="10"/>
        <v>0</v>
      </c>
      <c r="R22" s="29">
        <f t="shared" si="10"/>
        <v>-5.7</v>
      </c>
      <c r="S22" s="29">
        <f t="shared" si="10"/>
        <v>0</v>
      </c>
      <c r="T22" s="29">
        <f t="shared" si="10"/>
        <v>-1.1000000000000001</v>
      </c>
      <c r="U22" s="29">
        <f t="shared" ref="U22" si="11">SUM(U20:U21)</f>
        <v>-1</v>
      </c>
      <c r="V22" s="29">
        <f t="shared" ref="V22" si="12">SUM(V20:V21)</f>
        <v>-1.1000000000000001</v>
      </c>
      <c r="W22" s="29">
        <f t="shared" ref="W22" si="13">SUM(W20:W21)</f>
        <v>-1.1000000000000001</v>
      </c>
      <c r="X22" s="29">
        <f t="shared" ref="X22" si="14">SUM(X20:X21)</f>
        <v>-1.1000000000000001</v>
      </c>
      <c r="Y22" s="29">
        <f t="shared" ref="Y22" si="15">SUM(Y20:Y21)</f>
        <v>-1.1000000000000001</v>
      </c>
      <c r="Z22" s="29">
        <f t="shared" ref="Z22" si="16">SUM(Z20:Z21)</f>
        <v>-1.1000000000000001</v>
      </c>
      <c r="AA22" s="29">
        <f t="shared" ref="AA22" si="17">SUM(AA20:AA21)</f>
        <v>-1.1000000000000001</v>
      </c>
      <c r="AB22" s="29">
        <f t="shared" ref="AB22" si="18">SUM(AB20:AB21)</f>
        <v>-1.1000000000000001</v>
      </c>
      <c r="AC22" s="29">
        <f t="shared" ref="AC22" si="19">SUM(AC20:AC21)</f>
        <v>-1.1000000000000001</v>
      </c>
      <c r="AD22" s="29">
        <f t="shared" ref="AD22" si="20">SUM(AD20:AD21)</f>
        <v>-1.1000000000000001</v>
      </c>
      <c r="AE22" s="29">
        <f t="shared" ref="AE22" si="21">SUM(AE20:AE21)</f>
        <v>-1.1000000000000001</v>
      </c>
      <c r="AF22" s="29">
        <f t="shared" ref="AF22" si="22">SUM(AF20:AF21)</f>
        <v>-1.1000000000000001</v>
      </c>
      <c r="AG22" s="29">
        <f t="shared" ref="AG22" si="23">SUM(AG20:AG21)</f>
        <v>-1.1000000000000001</v>
      </c>
      <c r="AH22" s="29">
        <f t="shared" ref="AH22" si="24">SUM(AH20:AH21)</f>
        <v>-1.1000000000000001</v>
      </c>
      <c r="AI22" s="29">
        <f t="shared" ref="AI22" si="25">SUM(AI20:AI21)</f>
        <v>-1.1000000000000001</v>
      </c>
      <c r="AJ22" s="29">
        <f t="shared" ref="AJ22" si="26">SUM(AJ20:AJ21)</f>
        <v>-1.1000000000000001</v>
      </c>
      <c r="AK22" s="29">
        <f t="shared" ref="AK22" si="27">SUM(AK20:AK21)</f>
        <v>-1.1000000000000001</v>
      </c>
      <c r="AL22" s="29">
        <f t="shared" ref="AL22" si="28">SUM(AL20:AL21)</f>
        <v>-1.1000000000000001</v>
      </c>
      <c r="AM22" s="29">
        <f t="shared" ref="AM22" si="29">SUM(AM20:AM21)</f>
        <v>-1.1000000000000001</v>
      </c>
      <c r="AN22" s="29">
        <f t="shared" ref="AN22" si="30">SUM(AN20:AN21)</f>
        <v>-1.1000000000000001</v>
      </c>
      <c r="AO22" s="29">
        <f t="shared" ref="AO22" si="31">SUM(AO20:AO21)</f>
        <v>-1.1000000000000001</v>
      </c>
      <c r="AP22" s="29">
        <f t="shared" ref="AP22" si="32">SUM(AP20:AP21)</f>
        <v>-1.1000000000000001</v>
      </c>
      <c r="AQ22" s="29">
        <f t="shared" ref="AQ22" si="33">SUM(AQ20:AQ21)</f>
        <v>-1.1000000000000001</v>
      </c>
      <c r="AR22" s="29">
        <f t="shared" ref="AR22" si="34">SUM(AR20:AR21)</f>
        <v>-1.1000000000000001</v>
      </c>
      <c r="AS22" s="29">
        <f t="shared" ref="AS22" si="35">SUM(AS20:AS21)</f>
        <v>-1.1000000000000001</v>
      </c>
      <c r="AT22" s="29"/>
    </row>
    <row r="23" spans="2:46" x14ac:dyDescent="0.2">
      <c r="E23" s="28"/>
      <c r="F23" s="28"/>
      <c r="G23" s="28"/>
      <c r="H23" s="28"/>
      <c r="I23" s="28"/>
      <c r="J23" s="28"/>
      <c r="K23" s="28"/>
      <c r="L23" s="28"/>
      <c r="M23" s="28"/>
      <c r="N23" s="28"/>
      <c r="O23" s="28"/>
      <c r="P23" s="28"/>
      <c r="Q23" s="28"/>
      <c r="R23" s="28"/>
      <c r="S23" s="28"/>
      <c r="T23" s="28"/>
      <c r="U23" s="28"/>
      <c r="V23" s="28"/>
      <c r="W23" s="28"/>
      <c r="X23" s="28"/>
      <c r="Y23" s="28"/>
      <c r="Z23" s="28"/>
      <c r="AA23" s="28"/>
      <c r="AB23" s="28"/>
      <c r="AC23" s="28"/>
      <c r="AD23" s="28"/>
      <c r="AE23" s="28"/>
      <c r="AF23" s="28"/>
      <c r="AG23" s="28"/>
      <c r="AH23" s="28"/>
      <c r="AI23" s="28"/>
      <c r="AJ23" s="28"/>
      <c r="AK23" s="28"/>
      <c r="AL23" s="28"/>
      <c r="AM23" s="28"/>
      <c r="AN23" s="28"/>
      <c r="AO23" s="28"/>
      <c r="AP23" s="28"/>
      <c r="AQ23" s="28"/>
      <c r="AR23" s="28"/>
      <c r="AS23" s="28"/>
      <c r="AT23" s="28"/>
    </row>
    <row r="24" spans="2:46" x14ac:dyDescent="0.2">
      <c r="B24" t="s">
        <v>134</v>
      </c>
      <c r="C24" s="26">
        <f>SUM(E24:AT24)</f>
        <v>3742.5674000000035</v>
      </c>
      <c r="D24" t="s">
        <v>122</v>
      </c>
      <c r="E24" s="28">
        <f>+E9+E15+E17+E22</f>
        <v>-13.2</v>
      </c>
      <c r="F24" s="28">
        <f>+F9+F15+F17+F22</f>
        <v>-168</v>
      </c>
      <c r="G24" s="28">
        <f>+G9+G15+G17+G22</f>
        <v>-245.29999999999998</v>
      </c>
      <c r="H24" s="28">
        <f>+H9+H15+H17+H22</f>
        <v>19.054400000000001</v>
      </c>
      <c r="I24" s="28">
        <f>+I9+I15+I17+I22</f>
        <v>81.580000000000013</v>
      </c>
      <c r="J24" s="28">
        <f>+J9+J15+J17+J22</f>
        <v>89.941000000000003</v>
      </c>
      <c r="K24" s="28">
        <f>+K9+K15+K17+K22</f>
        <v>101.0325</v>
      </c>
      <c r="L24" s="28">
        <f>+L9+L15+L17+L22</f>
        <v>108.38450000000003</v>
      </c>
      <c r="M24" s="28">
        <f t="shared" ref="M24:AT24" si="36">+M9+M15+M17+M22</f>
        <v>104.64</v>
      </c>
      <c r="N24" s="28">
        <f t="shared" si="36"/>
        <v>109.98600000000002</v>
      </c>
      <c r="O24" s="28">
        <f t="shared" si="36"/>
        <v>110.48600000000002</v>
      </c>
      <c r="P24" s="28">
        <f t="shared" si="36"/>
        <v>110.48600000000002</v>
      </c>
      <c r="Q24" s="28">
        <f t="shared" si="36"/>
        <v>110.48600000000002</v>
      </c>
      <c r="R24" s="28">
        <f t="shared" si="36"/>
        <v>105.28600000000002</v>
      </c>
      <c r="S24" s="28">
        <f t="shared" si="36"/>
        <v>109.98600000000002</v>
      </c>
      <c r="T24" s="28">
        <f t="shared" si="36"/>
        <v>109.58600000000003</v>
      </c>
      <c r="U24" s="28">
        <f t="shared" si="36"/>
        <v>109.68600000000002</v>
      </c>
      <c r="V24" s="28">
        <f t="shared" si="36"/>
        <v>109.58600000000003</v>
      </c>
      <c r="W24" s="28">
        <f t="shared" si="36"/>
        <v>109.58600000000003</v>
      </c>
      <c r="X24" s="28">
        <f t="shared" si="36"/>
        <v>109.58600000000003</v>
      </c>
      <c r="Y24" s="28">
        <f t="shared" si="36"/>
        <v>109.58600000000003</v>
      </c>
      <c r="Z24" s="28">
        <f t="shared" si="36"/>
        <v>109.58600000000003</v>
      </c>
      <c r="AA24" s="28">
        <f t="shared" si="36"/>
        <v>109.58600000000003</v>
      </c>
      <c r="AB24" s="28">
        <f t="shared" si="36"/>
        <v>109.58600000000003</v>
      </c>
      <c r="AC24" s="28">
        <f t="shared" si="36"/>
        <v>109.58600000000003</v>
      </c>
      <c r="AD24" s="28">
        <f t="shared" si="36"/>
        <v>109.58600000000003</v>
      </c>
      <c r="AE24" s="28">
        <f t="shared" si="36"/>
        <v>109.58600000000003</v>
      </c>
      <c r="AF24" s="28">
        <f t="shared" si="36"/>
        <v>109.58600000000003</v>
      </c>
      <c r="AG24" s="28">
        <f t="shared" si="36"/>
        <v>109.58600000000003</v>
      </c>
      <c r="AH24" s="28">
        <f t="shared" si="36"/>
        <v>109.58600000000003</v>
      </c>
      <c r="AI24" s="28">
        <f t="shared" si="36"/>
        <v>109.58600000000003</v>
      </c>
      <c r="AJ24" s="28">
        <f t="shared" si="36"/>
        <v>109.58600000000003</v>
      </c>
      <c r="AK24" s="28">
        <f t="shared" si="36"/>
        <v>109.58600000000003</v>
      </c>
      <c r="AL24" s="28">
        <f t="shared" si="36"/>
        <v>109.58600000000003</v>
      </c>
      <c r="AM24" s="28">
        <f t="shared" si="36"/>
        <v>109.58600000000003</v>
      </c>
      <c r="AN24" s="28">
        <f t="shared" si="36"/>
        <v>109.58600000000003</v>
      </c>
      <c r="AO24" s="28">
        <f t="shared" si="36"/>
        <v>109.58600000000003</v>
      </c>
      <c r="AP24" s="28">
        <f t="shared" si="36"/>
        <v>109.58600000000003</v>
      </c>
      <c r="AQ24" s="28">
        <f t="shared" si="36"/>
        <v>109.58600000000003</v>
      </c>
      <c r="AR24" s="28">
        <f t="shared" si="36"/>
        <v>109.58600000000003</v>
      </c>
      <c r="AS24" s="28">
        <f t="shared" si="36"/>
        <v>109.58600000000003</v>
      </c>
      <c r="AT24" s="28">
        <f t="shared" si="36"/>
        <v>158.38300000000004</v>
      </c>
    </row>
    <row r="25" spans="2:46" x14ac:dyDescent="0.2">
      <c r="E25" s="28"/>
      <c r="F25" s="28"/>
      <c r="G25" s="28"/>
      <c r="H25" s="28"/>
      <c r="I25" s="28"/>
      <c r="J25" s="28"/>
      <c r="K25" s="28"/>
      <c r="L25" s="28"/>
      <c r="M25" s="28"/>
      <c r="N25" s="28"/>
      <c r="O25" s="28"/>
      <c r="P25" s="28"/>
      <c r="Q25" s="28"/>
      <c r="R25" s="28"/>
      <c r="S25" s="28"/>
      <c r="T25" s="28"/>
      <c r="U25" s="28"/>
      <c r="V25" s="28"/>
      <c r="W25" s="28"/>
      <c r="X25" s="28"/>
      <c r="Y25" s="28"/>
      <c r="Z25" s="28"/>
      <c r="AA25" s="28"/>
      <c r="AB25" s="28"/>
      <c r="AC25" s="28"/>
      <c r="AD25" s="28"/>
      <c r="AE25" s="28"/>
      <c r="AF25" s="28"/>
      <c r="AG25" s="28"/>
      <c r="AH25" s="28"/>
      <c r="AI25" s="28"/>
      <c r="AJ25" s="28"/>
      <c r="AK25" s="28"/>
      <c r="AL25" s="28"/>
      <c r="AM25" s="28"/>
      <c r="AN25" s="28"/>
      <c r="AO25" s="28"/>
      <c r="AP25" s="28"/>
      <c r="AQ25" s="28"/>
      <c r="AR25" s="28"/>
      <c r="AS25" s="28"/>
      <c r="AT25" s="28"/>
    </row>
    <row r="26" spans="2:46" x14ac:dyDescent="0.2">
      <c r="B26" t="s">
        <v>37</v>
      </c>
      <c r="C26" s="26">
        <f>SUM(E26:AT26)</f>
        <v>-1119.4000000000001</v>
      </c>
      <c r="D26" t="s">
        <v>122</v>
      </c>
      <c r="E26" s="28">
        <v>0</v>
      </c>
      <c r="F26" s="28">
        <v>0</v>
      </c>
      <c r="G26" s="28">
        <v>0</v>
      </c>
      <c r="H26" s="28">
        <v>-2.8</v>
      </c>
      <c r="I26" s="28">
        <v>-12.2</v>
      </c>
      <c r="J26" s="28">
        <v>-14</v>
      </c>
      <c r="K26" s="28">
        <v>-17.5</v>
      </c>
      <c r="L26" s="28">
        <v>-19.5</v>
      </c>
      <c r="M26" s="28">
        <v>-18.100000000000001</v>
      </c>
      <c r="N26" s="28">
        <v>-20</v>
      </c>
      <c r="O26" s="28">
        <v>-20</v>
      </c>
      <c r="P26" s="28">
        <v>-20</v>
      </c>
      <c r="Q26" s="28">
        <v>-20</v>
      </c>
      <c r="R26" s="28">
        <v>-31.3</v>
      </c>
      <c r="S26" s="28">
        <v>-33</v>
      </c>
      <c r="T26" s="28">
        <v>-33</v>
      </c>
      <c r="U26" s="28">
        <v>-33</v>
      </c>
      <c r="V26" s="28">
        <v>-33</v>
      </c>
      <c r="W26" s="28">
        <v>-33</v>
      </c>
      <c r="X26" s="28">
        <v>-33</v>
      </c>
      <c r="Y26" s="28">
        <v>-33</v>
      </c>
      <c r="Z26" s="28">
        <v>-33</v>
      </c>
      <c r="AA26" s="28">
        <v>-33</v>
      </c>
      <c r="AB26" s="28">
        <v>-33</v>
      </c>
      <c r="AC26" s="28">
        <v>-33</v>
      </c>
      <c r="AD26" s="28">
        <v>-33</v>
      </c>
      <c r="AE26" s="28">
        <v>-33</v>
      </c>
      <c r="AF26" s="28">
        <v>-33</v>
      </c>
      <c r="AG26" s="28">
        <v>-33</v>
      </c>
      <c r="AH26" s="28">
        <v>-33</v>
      </c>
      <c r="AI26" s="28">
        <v>-33</v>
      </c>
      <c r="AJ26" s="28">
        <v>-33</v>
      </c>
      <c r="AK26" s="28">
        <v>-33</v>
      </c>
      <c r="AL26" s="28">
        <v>-33</v>
      </c>
      <c r="AM26" s="28">
        <v>-33</v>
      </c>
      <c r="AN26" s="28">
        <v>-33</v>
      </c>
      <c r="AO26" s="28">
        <v>-33</v>
      </c>
      <c r="AP26" s="28">
        <v>-33</v>
      </c>
      <c r="AQ26" s="28">
        <v>-33</v>
      </c>
      <c r="AR26" s="28">
        <v>-33</v>
      </c>
      <c r="AS26" s="28">
        <v>-33</v>
      </c>
      <c r="AT26" s="28">
        <v>-33</v>
      </c>
    </row>
    <row r="27" spans="2:46" x14ac:dyDescent="0.2">
      <c r="E27" s="28"/>
      <c r="F27" s="28"/>
      <c r="G27" s="28"/>
      <c r="H27" s="28"/>
      <c r="I27" s="28"/>
      <c r="J27" s="28"/>
      <c r="K27" s="28"/>
      <c r="L27" s="28"/>
      <c r="M27" s="28"/>
      <c r="N27" s="28"/>
      <c r="O27" s="28"/>
      <c r="P27" s="28"/>
      <c r="Q27" s="28"/>
      <c r="R27" s="28"/>
      <c r="S27" s="28"/>
      <c r="T27" s="28"/>
      <c r="U27" s="28"/>
      <c r="V27" s="28"/>
      <c r="W27" s="28"/>
      <c r="X27" s="28"/>
      <c r="Y27" s="28"/>
      <c r="Z27" s="28"/>
      <c r="AA27" s="28"/>
      <c r="AB27" s="28"/>
      <c r="AC27" s="28"/>
      <c r="AD27" s="28"/>
      <c r="AE27" s="28"/>
      <c r="AF27" s="28"/>
      <c r="AG27" s="28"/>
      <c r="AH27" s="28"/>
      <c r="AI27" s="28"/>
      <c r="AJ27" s="28"/>
      <c r="AK27" s="28"/>
      <c r="AL27" s="28"/>
      <c r="AM27" s="28"/>
      <c r="AN27" s="28"/>
      <c r="AO27" s="28"/>
      <c r="AP27" s="28"/>
      <c r="AQ27" s="28"/>
      <c r="AR27" s="28"/>
      <c r="AS27" s="28"/>
      <c r="AT27" s="28"/>
    </row>
    <row r="28" spans="2:46" x14ac:dyDescent="0.2">
      <c r="B28" s="16" t="s">
        <v>135</v>
      </c>
      <c r="C28" s="27">
        <f>SUM(E28:AT28)</f>
        <v>2623.1674000000021</v>
      </c>
      <c r="D28" s="16" t="s">
        <v>122</v>
      </c>
      <c r="E28" s="29">
        <f>SUM(E24,E26)</f>
        <v>-13.2</v>
      </c>
      <c r="F28" s="29">
        <f t="shared" ref="F28:AT28" si="37">SUM(F24,F26)</f>
        <v>-168</v>
      </c>
      <c r="G28" s="29">
        <f t="shared" si="37"/>
        <v>-245.29999999999998</v>
      </c>
      <c r="H28" s="29">
        <f t="shared" si="37"/>
        <v>16.2544</v>
      </c>
      <c r="I28" s="29">
        <f t="shared" si="37"/>
        <v>69.38000000000001</v>
      </c>
      <c r="J28" s="29">
        <f t="shared" si="37"/>
        <v>75.941000000000003</v>
      </c>
      <c r="K28" s="29">
        <f t="shared" si="37"/>
        <v>83.532499999999999</v>
      </c>
      <c r="L28" s="29">
        <f t="shared" si="37"/>
        <v>88.884500000000031</v>
      </c>
      <c r="M28" s="29">
        <f t="shared" si="37"/>
        <v>86.539999999999992</v>
      </c>
      <c r="N28" s="29">
        <f t="shared" si="37"/>
        <v>89.986000000000018</v>
      </c>
      <c r="O28" s="29">
        <f t="shared" si="37"/>
        <v>90.486000000000018</v>
      </c>
      <c r="P28" s="29">
        <f t="shared" si="37"/>
        <v>90.486000000000018</v>
      </c>
      <c r="Q28" s="29">
        <f t="shared" si="37"/>
        <v>90.486000000000018</v>
      </c>
      <c r="R28" s="29">
        <f t="shared" si="37"/>
        <v>73.986000000000018</v>
      </c>
      <c r="S28" s="29">
        <f t="shared" si="37"/>
        <v>76.986000000000018</v>
      </c>
      <c r="T28" s="29">
        <f t="shared" si="37"/>
        <v>76.586000000000027</v>
      </c>
      <c r="U28" s="29">
        <f t="shared" si="37"/>
        <v>76.686000000000021</v>
      </c>
      <c r="V28" s="29">
        <f t="shared" si="37"/>
        <v>76.586000000000027</v>
      </c>
      <c r="W28" s="29">
        <f t="shared" si="37"/>
        <v>76.586000000000027</v>
      </c>
      <c r="X28" s="29">
        <f t="shared" si="37"/>
        <v>76.586000000000027</v>
      </c>
      <c r="Y28" s="29">
        <f t="shared" si="37"/>
        <v>76.586000000000027</v>
      </c>
      <c r="Z28" s="29">
        <f t="shared" si="37"/>
        <v>76.586000000000027</v>
      </c>
      <c r="AA28" s="29">
        <f t="shared" si="37"/>
        <v>76.586000000000027</v>
      </c>
      <c r="AB28" s="29">
        <f t="shared" si="37"/>
        <v>76.586000000000027</v>
      </c>
      <c r="AC28" s="29">
        <f t="shared" si="37"/>
        <v>76.586000000000027</v>
      </c>
      <c r="AD28" s="29">
        <f t="shared" si="37"/>
        <v>76.586000000000027</v>
      </c>
      <c r="AE28" s="29">
        <f t="shared" si="37"/>
        <v>76.586000000000027</v>
      </c>
      <c r="AF28" s="29">
        <f t="shared" si="37"/>
        <v>76.586000000000027</v>
      </c>
      <c r="AG28" s="29">
        <f t="shared" si="37"/>
        <v>76.586000000000027</v>
      </c>
      <c r="AH28" s="29">
        <f t="shared" si="37"/>
        <v>76.586000000000027</v>
      </c>
      <c r="AI28" s="29">
        <f t="shared" si="37"/>
        <v>76.586000000000027</v>
      </c>
      <c r="AJ28" s="29">
        <f t="shared" si="37"/>
        <v>76.586000000000027</v>
      </c>
      <c r="AK28" s="29">
        <f t="shared" si="37"/>
        <v>76.586000000000027</v>
      </c>
      <c r="AL28" s="29">
        <f t="shared" si="37"/>
        <v>76.586000000000027</v>
      </c>
      <c r="AM28" s="29">
        <f t="shared" si="37"/>
        <v>76.586000000000027</v>
      </c>
      <c r="AN28" s="29">
        <f t="shared" si="37"/>
        <v>76.586000000000027</v>
      </c>
      <c r="AO28" s="29">
        <f t="shared" si="37"/>
        <v>76.586000000000027</v>
      </c>
      <c r="AP28" s="29">
        <f t="shared" si="37"/>
        <v>76.586000000000027</v>
      </c>
      <c r="AQ28" s="29">
        <f t="shared" si="37"/>
        <v>76.586000000000027</v>
      </c>
      <c r="AR28" s="29">
        <f t="shared" si="37"/>
        <v>76.586000000000027</v>
      </c>
      <c r="AS28" s="29">
        <f t="shared" si="37"/>
        <v>76.586000000000027</v>
      </c>
      <c r="AT28" s="29">
        <f t="shared" si="37"/>
        <v>125.38300000000004</v>
      </c>
    </row>
    <row r="30" spans="2:46" x14ac:dyDescent="0.2">
      <c r="B30" t="s">
        <v>136</v>
      </c>
      <c r="C30" s="3">
        <f>NPV(0.07,H28:AT28) + SUM(E28:G28)</f>
        <v>580.43295179743552</v>
      </c>
    </row>
    <row r="31" spans="2:46" x14ac:dyDescent="0.2">
      <c r="B31" t="s">
        <v>137</v>
      </c>
      <c r="C31" s="1">
        <f>IRR(E28:AT28,8%)</f>
        <v>0.15720241065799234</v>
      </c>
    </row>
    <row r="33" spans="2:4" x14ac:dyDescent="0.2">
      <c r="B33" t="s">
        <v>138</v>
      </c>
      <c r="C33" s="30">
        <v>0.90700000000000003</v>
      </c>
      <c r="D33" t="s">
        <v>139</v>
      </c>
    </row>
    <row r="35" spans="2:4" x14ac:dyDescent="0.2">
      <c r="C35" s="3">
        <v>1300</v>
      </c>
    </row>
    <row r="36" spans="2:4" x14ac:dyDescent="0.2">
      <c r="C36" s="3">
        <f>+C35*C33</f>
        <v>1179.1000000000001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Main</vt:lpstr>
      <vt:lpstr>US Geo Survey Notes</vt:lpstr>
      <vt:lpstr>Model </vt:lpstr>
      <vt:lpstr>Revenue Model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Jameel Brannon</dc:creator>
  <cp:lastModifiedBy>Jameel Brannon</cp:lastModifiedBy>
  <dcterms:created xsi:type="dcterms:W3CDTF">2025-10-17T03:15:50Z</dcterms:created>
  <dcterms:modified xsi:type="dcterms:W3CDTF">2025-10-18T02:43:58Z</dcterms:modified>
</cp:coreProperties>
</file>